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ЦяКнига" defaultThemeVersion="124226"/>
  <bookViews>
    <workbookView xWindow="0" yWindow="0" windowWidth="20520" windowHeight="11460" tabRatio="785"/>
  </bookViews>
  <sheets>
    <sheet name="зведена" sheetId="1" r:id="rId1"/>
    <sheet name="Лист2" sheetId="4" r:id="rId2"/>
    <sheet name="зведена з рент.платою" sheetId="2" state="hidden" r:id="rId3"/>
    <sheet name="Лист1" sheetId="3" state="hidden" r:id="rId4"/>
  </sheets>
  <definedNames>
    <definedName name="_xlnm._FilterDatabase" localSheetId="0" hidden="1">зведена!$D$7:$D$536</definedName>
    <definedName name="_xlnm._FilterDatabase" localSheetId="2" hidden="1">'зведена з рент.платою'!$D$7:$D$599</definedName>
  </definedNames>
  <calcPr calcId="152511"/>
</workbook>
</file>

<file path=xl/calcChain.xml><?xml version="1.0" encoding="utf-8"?>
<calcChain xmlns="http://schemas.openxmlformats.org/spreadsheetml/2006/main">
  <c r="J34" i="1"/>
  <c r="J33"/>
  <c r="J31"/>
  <c r="J30"/>
  <c r="J27"/>
  <c r="J23"/>
  <c r="J21"/>
  <c r="J11"/>
  <c r="J63"/>
  <c r="J44"/>
  <c r="J43"/>
  <c r="J42"/>
  <c r="J41"/>
  <c r="J10"/>
  <c r="J37"/>
  <c r="J56"/>
  <c r="J61"/>
  <c r="J60"/>
  <c r="J25"/>
  <c r="J47"/>
  <c r="J46"/>
  <c r="J544"/>
  <c r="J533"/>
  <c r="J288"/>
  <c r="J198"/>
  <c r="J169"/>
  <c r="J146"/>
  <c r="J121"/>
  <c r="J59"/>
  <c r="J45"/>
  <c r="J36"/>
  <c r="J28"/>
  <c r="J24"/>
  <c r="J17"/>
  <c r="J14"/>
  <c r="J9"/>
  <c r="R95" i="2"/>
  <c r="R94"/>
  <c r="R93"/>
  <c r="R92"/>
  <c r="I9" i="3"/>
  <c r="I10"/>
  <c r="H8"/>
  <c r="L10"/>
  <c r="K10"/>
  <c r="M10"/>
  <c r="J10"/>
  <c r="G10"/>
  <c r="R58" i="2"/>
  <c r="R57"/>
  <c r="R56"/>
  <c r="R55"/>
  <c r="R54"/>
  <c r="L11" i="3"/>
  <c r="I11"/>
  <c r="K11"/>
  <c r="H11"/>
  <c r="J11"/>
  <c r="G11"/>
  <c r="L9"/>
  <c r="J9"/>
  <c r="J12"/>
  <c r="K9"/>
  <c r="H9"/>
  <c r="J8"/>
  <c r="L8"/>
  <c r="K8"/>
  <c r="K12"/>
  <c r="M8"/>
  <c r="D10"/>
  <c r="F11"/>
  <c r="E11"/>
  <c r="E12"/>
  <c r="D9"/>
  <c r="H10"/>
  <c r="H12"/>
  <c r="M9"/>
  <c r="L12"/>
  <c r="M11"/>
  <c r="M12"/>
  <c r="G9"/>
  <c r="R264" i="2"/>
  <c r="R592"/>
  <c r="R544"/>
  <c r="R543"/>
  <c r="R542"/>
  <c r="R588"/>
  <c r="R593"/>
  <c r="R591"/>
  <c r="R590"/>
  <c r="R589"/>
  <c r="R587"/>
  <c r="R586"/>
  <c r="R585"/>
  <c r="R584"/>
  <c r="R583"/>
  <c r="R582"/>
  <c r="R581"/>
  <c r="R594"/>
  <c r="F8" i="3"/>
  <c r="F12"/>
  <c r="D8"/>
  <c r="C12"/>
  <c r="I8"/>
  <c r="I12"/>
  <c r="D12"/>
  <c r="G8"/>
  <c r="G12"/>
  <c r="J579" i="2"/>
  <c r="J577"/>
  <c r="J576"/>
  <c r="J544"/>
  <c r="J543"/>
  <c r="J542"/>
  <c r="J510"/>
  <c r="J509"/>
  <c r="J453"/>
  <c r="J382"/>
  <c r="J331"/>
  <c r="J330"/>
  <c r="J329"/>
  <c r="J306"/>
  <c r="J326"/>
  <c r="J307"/>
  <c r="J308"/>
  <c r="J309"/>
  <c r="J310"/>
  <c r="J311"/>
  <c r="J312"/>
  <c r="J313"/>
  <c r="J314"/>
  <c r="J315"/>
  <c r="J316"/>
  <c r="J356"/>
  <c r="J357"/>
  <c r="J358"/>
  <c r="J359"/>
  <c r="J360"/>
  <c r="J362"/>
  <c r="J363"/>
  <c r="J364"/>
  <c r="J365"/>
  <c r="J366"/>
  <c r="J367"/>
  <c r="J369"/>
  <c r="J374"/>
  <c r="J375"/>
  <c r="J378"/>
  <c r="J424"/>
  <c r="J449"/>
  <c r="J425"/>
  <c r="J429"/>
  <c r="J430"/>
  <c r="J433"/>
  <c r="J434"/>
  <c r="J438"/>
  <c r="J439"/>
  <c r="J440"/>
  <c r="J441"/>
  <c r="J442"/>
  <c r="J443"/>
  <c r="J445"/>
  <c r="J487"/>
  <c r="J505"/>
  <c r="J488"/>
  <c r="J508"/>
  <c r="J489"/>
  <c r="J506"/>
  <c r="J494"/>
  <c r="J497"/>
  <c r="J498"/>
  <c r="J566"/>
  <c r="J575"/>
  <c r="J567"/>
  <c r="J574"/>
  <c r="J570"/>
  <c r="J571"/>
  <c r="J572"/>
  <c r="R579"/>
  <c r="R578"/>
  <c r="R577"/>
  <c r="R576"/>
  <c r="R575"/>
  <c r="R574"/>
  <c r="R510"/>
  <c r="R509"/>
  <c r="R508"/>
  <c r="R507"/>
  <c r="R506"/>
  <c r="R505"/>
  <c r="R449"/>
  <c r="R450"/>
  <c r="R451"/>
  <c r="R452"/>
  <c r="R453"/>
  <c r="R382"/>
  <c r="R381"/>
  <c r="R380"/>
  <c r="R331"/>
  <c r="R330"/>
  <c r="R329"/>
  <c r="R328"/>
  <c r="R327"/>
  <c r="R326"/>
  <c r="R296"/>
  <c r="R297"/>
  <c r="R298"/>
  <c r="J269"/>
  <c r="J268"/>
  <c r="R269"/>
  <c r="R268"/>
  <c r="R267"/>
  <c r="R266"/>
  <c r="R265"/>
  <c r="J95"/>
  <c r="J94"/>
  <c r="J228"/>
  <c r="J226"/>
  <c r="R228"/>
  <c r="R227"/>
  <c r="R226"/>
  <c r="R225"/>
  <c r="R224"/>
  <c r="R223"/>
  <c r="R222"/>
  <c r="J188"/>
  <c r="J187"/>
  <c r="R188"/>
  <c r="R187"/>
  <c r="R186"/>
  <c r="R185"/>
  <c r="R119"/>
  <c r="R118"/>
  <c r="R117"/>
  <c r="R116"/>
  <c r="M588" i="1"/>
  <c r="H597" i="2"/>
  <c r="I597"/>
  <c r="K597"/>
  <c r="I53"/>
  <c r="K53"/>
  <c r="R53"/>
  <c r="M599"/>
  <c r="J595"/>
  <c r="I595"/>
  <c r="H595"/>
  <c r="J594"/>
  <c r="I594"/>
  <c r="H594"/>
  <c r="L583"/>
  <c r="L584"/>
  <c r="K583"/>
  <c r="K584"/>
  <c r="X570"/>
  <c r="J295"/>
  <c r="J294"/>
  <c r="J293"/>
  <c r="J292"/>
  <c r="J291"/>
  <c r="J298"/>
  <c r="J290"/>
  <c r="J289"/>
  <c r="J288"/>
  <c r="J287"/>
  <c r="J286"/>
  <c r="J296"/>
  <c r="J284"/>
  <c r="J257"/>
  <c r="J253"/>
  <c r="J252"/>
  <c r="J251"/>
  <c r="J266"/>
  <c r="J250"/>
  <c r="J265"/>
  <c r="J219"/>
  <c r="J217"/>
  <c r="J216"/>
  <c r="J214"/>
  <c r="J211"/>
  <c r="J210"/>
  <c r="J209"/>
  <c r="J222"/>
  <c r="J208"/>
  <c r="J207"/>
  <c r="J206"/>
  <c r="J201"/>
  <c r="J176"/>
  <c r="J175"/>
  <c r="J174"/>
  <c r="J172"/>
  <c r="J170"/>
  <c r="J169"/>
  <c r="J168"/>
  <c r="J143"/>
  <c r="J142"/>
  <c r="J141"/>
  <c r="J140"/>
  <c r="J139"/>
  <c r="J136"/>
  <c r="J115"/>
  <c r="J119"/>
  <c r="J114"/>
  <c r="J113"/>
  <c r="J112"/>
  <c r="J117"/>
  <c r="J111"/>
  <c r="J110"/>
  <c r="J109"/>
  <c r="J108"/>
  <c r="J89"/>
  <c r="J88"/>
  <c r="J87"/>
  <c r="J86"/>
  <c r="J79"/>
  <c r="J78"/>
  <c r="J52"/>
  <c r="J51"/>
  <c r="J50"/>
  <c r="J49"/>
  <c r="J47"/>
  <c r="J46"/>
  <c r="J45"/>
  <c r="J44"/>
  <c r="J43"/>
  <c r="J42"/>
  <c r="J41"/>
  <c r="J40"/>
  <c r="J39"/>
  <c r="J37"/>
  <c r="J35"/>
  <c r="J34"/>
  <c r="J33"/>
  <c r="J32"/>
  <c r="J31"/>
  <c r="J30"/>
  <c r="J29"/>
  <c r="J28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380"/>
  <c r="J57"/>
  <c r="J55"/>
  <c r="J56"/>
  <c r="J297"/>
  <c r="J381"/>
  <c r="J54"/>
  <c r="J578"/>
  <c r="J451"/>
  <c r="J327"/>
  <c r="J507"/>
  <c r="J452"/>
  <c r="J450"/>
  <c r="J328"/>
  <c r="R580"/>
  <c r="J92"/>
  <c r="J224"/>
  <c r="J267"/>
  <c r="J93"/>
  <c r="J225"/>
  <c r="J223"/>
  <c r="J118"/>
  <c r="J227"/>
  <c r="J186"/>
  <c r="J53"/>
  <c r="J185"/>
  <c r="J116"/>
  <c r="R597"/>
  <c r="R599"/>
  <c r="I596"/>
  <c r="J596"/>
  <c r="H596"/>
  <c r="J58"/>
  <c r="J597"/>
</calcChain>
</file>

<file path=xl/sharedStrings.xml><?xml version="1.0" encoding="utf-8"?>
<sst xmlns="http://schemas.openxmlformats.org/spreadsheetml/2006/main" count="9369" uniqueCount="497">
  <si>
    <t>номер лісорубного квитка</t>
  </si>
  <si>
    <t>дата видачі лісорубного квитка</t>
  </si>
  <si>
    <t>вид, спосіб рубки</t>
  </si>
  <si>
    <t>запас деревини, дозволений до заготівлі, куб.м.</t>
  </si>
  <si>
    <t>всього</t>
  </si>
  <si>
    <t>в т.ч. ліквідної</t>
  </si>
  <si>
    <t>Демидівське</t>
  </si>
  <si>
    <t>Чорноліське</t>
  </si>
  <si>
    <t>Шендерівське</t>
  </si>
  <si>
    <t>Іванівське</t>
  </si>
  <si>
    <t>Калинівське</t>
  </si>
  <si>
    <t>Прибузьке</t>
  </si>
  <si>
    <t>Вінницьке</t>
  </si>
  <si>
    <t>Михайлівське</t>
  </si>
  <si>
    <t>Місцезнаходження, район</t>
  </si>
  <si>
    <t>Місцезнаходження, сільська рада</t>
  </si>
  <si>
    <t>Вороновицька</t>
  </si>
  <si>
    <t>Інформація</t>
  </si>
  <si>
    <t>суцільнолісосічна</t>
  </si>
  <si>
    <t xml:space="preserve"> </t>
  </si>
  <si>
    <t>Вороновицьке</t>
  </si>
  <si>
    <t>Якушинецьке</t>
  </si>
  <si>
    <t>Прохідна</t>
  </si>
  <si>
    <t>Прочищення</t>
  </si>
  <si>
    <t>Проріджування</t>
  </si>
  <si>
    <t>Гніванське</t>
  </si>
  <si>
    <t>Тл</t>
  </si>
  <si>
    <t>Тиврівське</t>
  </si>
  <si>
    <t>Хв</t>
  </si>
  <si>
    <t>Мл</t>
  </si>
  <si>
    <t>Медвідське</t>
  </si>
  <si>
    <t>Освітлення</t>
  </si>
  <si>
    <t>Вибіркова санітарна</t>
  </si>
  <si>
    <t>Гніванська</t>
  </si>
  <si>
    <t>Колюхівська</t>
  </si>
  <si>
    <t>сільська рада</t>
  </si>
  <si>
    <t>Кудлаївська</t>
  </si>
  <si>
    <t>Демидівська</t>
  </si>
  <si>
    <t>Комарівська</t>
  </si>
  <si>
    <t>Майданська</t>
  </si>
  <si>
    <t>Некрасівська</t>
  </si>
  <si>
    <t>Ведмежевушківська</t>
  </si>
  <si>
    <t>Стрижавська</t>
  </si>
  <si>
    <t>Якушинецька</t>
  </si>
  <si>
    <t>МізХутірська</t>
  </si>
  <si>
    <t>Гущинецька</t>
  </si>
  <si>
    <t>Іванівська</t>
  </si>
  <si>
    <t>Калинівська</t>
  </si>
  <si>
    <t>Мізяківська</t>
  </si>
  <si>
    <t>Павлівська</t>
  </si>
  <si>
    <t>Сальницька</t>
  </si>
  <si>
    <t>Селищанська</t>
  </si>
  <si>
    <t>Сутисківська</t>
  </si>
  <si>
    <t>Пилявська</t>
  </si>
  <si>
    <t>Марківська</t>
  </si>
  <si>
    <t>Василівська</t>
  </si>
  <si>
    <t>Пултівецька</t>
  </si>
  <si>
    <t>Бохоницька</t>
  </si>
  <si>
    <t>Парпуровецька</t>
  </si>
  <si>
    <t>Луко-Мелешківська</t>
  </si>
  <si>
    <t>Вінницька м.р.</t>
  </si>
  <si>
    <t>Тиврівська</t>
  </si>
  <si>
    <t>Тиврівський</t>
  </si>
  <si>
    <t>Немирівський</t>
  </si>
  <si>
    <t>Вінницький</t>
  </si>
  <si>
    <t>Калинівський</t>
  </si>
  <si>
    <t>м. Вінниця</t>
  </si>
  <si>
    <t>3</t>
  </si>
  <si>
    <t>8</t>
  </si>
  <si>
    <t>2</t>
  </si>
  <si>
    <t>1.1</t>
  </si>
  <si>
    <t>1</t>
  </si>
  <si>
    <t>4</t>
  </si>
  <si>
    <t>7.1</t>
  </si>
  <si>
    <t>5</t>
  </si>
  <si>
    <t>9</t>
  </si>
  <si>
    <t>20</t>
  </si>
  <si>
    <t>10</t>
  </si>
  <si>
    <t>15</t>
  </si>
  <si>
    <t>6</t>
  </si>
  <si>
    <t>13</t>
  </si>
  <si>
    <t>21</t>
  </si>
  <si>
    <t>14</t>
  </si>
  <si>
    <t>11.1</t>
  </si>
  <si>
    <t>16</t>
  </si>
  <si>
    <t>7</t>
  </si>
  <si>
    <t>17</t>
  </si>
  <si>
    <t>2.1</t>
  </si>
  <si>
    <t>11</t>
  </si>
  <si>
    <t>12</t>
  </si>
  <si>
    <t>18</t>
  </si>
  <si>
    <t>25</t>
  </si>
  <si>
    <t>19</t>
  </si>
  <si>
    <t>33</t>
  </si>
  <si>
    <t>26</t>
  </si>
  <si>
    <t>22</t>
  </si>
  <si>
    <t>28</t>
  </si>
  <si>
    <t>4.1</t>
  </si>
  <si>
    <t>6.1</t>
  </si>
  <si>
    <t>4.2</t>
  </si>
  <si>
    <t>5.1</t>
  </si>
  <si>
    <t>3.1</t>
  </si>
  <si>
    <t>9.1</t>
  </si>
  <si>
    <t>2.2</t>
  </si>
  <si>
    <t>Медвежевушківська</t>
  </si>
  <si>
    <t>Іванівська ОТГ</t>
  </si>
  <si>
    <t>Дзвониська</t>
  </si>
  <si>
    <t>Агрономічна</t>
  </si>
  <si>
    <t>найменування лісництва</t>
  </si>
  <si>
    <t>Категорія група лісів</t>
  </si>
  <si>
    <t>головна порода</t>
  </si>
  <si>
    <t>№ кварталу</t>
  </si>
  <si>
    <t>№ виділу, підвиділу</t>
  </si>
  <si>
    <t>Площа, га</t>
  </si>
  <si>
    <t>серія лісорубного квитка</t>
  </si>
  <si>
    <t>ВІ ЛРК</t>
  </si>
  <si>
    <t>Примітка (анулювання, заміна, відстрочення, тощо)</t>
  </si>
  <si>
    <t>Підстава для призначення рубки, площа га</t>
  </si>
  <si>
    <t>матеріали лісовпорядкування</t>
  </si>
  <si>
    <t>обстеження лісокористувача</t>
  </si>
  <si>
    <t>№ з/п</t>
  </si>
  <si>
    <t>Лісокористувач: ДП "Вінницький лісгосп"</t>
  </si>
  <si>
    <t>Директор</t>
  </si>
  <si>
    <t>В.В.Попельнюк</t>
  </si>
  <si>
    <t>ДП "Вінницький лісгосп</t>
  </si>
  <si>
    <t>Рубка небезпечних дерев</t>
  </si>
  <si>
    <t>12.1</t>
  </si>
  <si>
    <t>32</t>
  </si>
  <si>
    <t>тл</t>
  </si>
  <si>
    <t>хв</t>
  </si>
  <si>
    <t>13.4</t>
  </si>
  <si>
    <t>001077</t>
  </si>
  <si>
    <t>10.2</t>
  </si>
  <si>
    <t>001078</t>
  </si>
  <si>
    <t>003616</t>
  </si>
  <si>
    <t>001079</t>
  </si>
  <si>
    <t>001080</t>
  </si>
  <si>
    <t>003617</t>
  </si>
  <si>
    <t>001081</t>
  </si>
  <si>
    <t>003618</t>
  </si>
  <si>
    <t>001082</t>
  </si>
  <si>
    <t>001083</t>
  </si>
  <si>
    <t>001084</t>
  </si>
  <si>
    <t>001085</t>
  </si>
  <si>
    <t>003619</t>
  </si>
  <si>
    <t>003620</t>
  </si>
  <si>
    <t>003621</t>
  </si>
  <si>
    <t>003615</t>
  </si>
  <si>
    <t>001086</t>
  </si>
  <si>
    <t>001087</t>
  </si>
  <si>
    <t>001088</t>
  </si>
  <si>
    <t>001122</t>
  </si>
  <si>
    <t>001123</t>
  </si>
  <si>
    <t>001124</t>
  </si>
  <si>
    <t>001125</t>
  </si>
  <si>
    <t>001126</t>
  </si>
  <si>
    <t>001127</t>
  </si>
  <si>
    <t>001128</t>
  </si>
  <si>
    <t>001129</t>
  </si>
  <si>
    <t>001130</t>
  </si>
  <si>
    <t>001112</t>
  </si>
  <si>
    <t>17.1</t>
  </si>
  <si>
    <t>24</t>
  </si>
  <si>
    <t>001113</t>
  </si>
  <si>
    <t>001114</t>
  </si>
  <si>
    <t>001115</t>
  </si>
  <si>
    <t>001116</t>
  </si>
  <si>
    <t>проріджування</t>
  </si>
  <si>
    <t>003606</t>
  </si>
  <si>
    <t>003613</t>
  </si>
  <si>
    <t>001098</t>
  </si>
  <si>
    <t>04.012020</t>
  </si>
  <si>
    <t>003614</t>
  </si>
  <si>
    <t>3,1</t>
  </si>
  <si>
    <t>9,1</t>
  </si>
  <si>
    <t>001106</t>
  </si>
  <si>
    <t>001107</t>
  </si>
  <si>
    <t>003603</t>
  </si>
  <si>
    <t>17,1</t>
  </si>
  <si>
    <t>003604</t>
  </si>
  <si>
    <t>1.0</t>
  </si>
  <si>
    <t>001089</t>
  </si>
  <si>
    <t>2,1</t>
  </si>
  <si>
    <t>14.1</t>
  </si>
  <si>
    <t>001118</t>
  </si>
  <si>
    <t>001119</t>
  </si>
  <si>
    <t>6,1</t>
  </si>
  <si>
    <t>001100</t>
  </si>
  <si>
    <t>8.1</t>
  </si>
  <si>
    <t>8.2</t>
  </si>
  <si>
    <t>003607</t>
  </si>
  <si>
    <t>003608</t>
  </si>
  <si>
    <t>003609</t>
  </si>
  <si>
    <t>003610</t>
  </si>
  <si>
    <t>001097</t>
  </si>
  <si>
    <t>1.2</t>
  </si>
  <si>
    <t>1.3</t>
  </si>
  <si>
    <t>мл</t>
  </si>
  <si>
    <t>001093</t>
  </si>
  <si>
    <t>2,4</t>
  </si>
  <si>
    <t>001094</t>
  </si>
  <si>
    <t>001095</t>
  </si>
  <si>
    <t>001096</t>
  </si>
  <si>
    <t>001092</t>
  </si>
  <si>
    <t>вибіркова санітарна</t>
  </si>
  <si>
    <t>001104</t>
  </si>
  <si>
    <t>001105</t>
  </si>
  <si>
    <t>003612</t>
  </si>
  <si>
    <t>003602</t>
  </si>
  <si>
    <t>001090</t>
  </si>
  <si>
    <t>001110</t>
  </si>
  <si>
    <t>001111</t>
  </si>
  <si>
    <t>001102</t>
  </si>
  <si>
    <t>15,1</t>
  </si>
  <si>
    <t>10.1</t>
  </si>
  <si>
    <t>001108</t>
  </si>
  <si>
    <t>001109</t>
  </si>
  <si>
    <t>003611</t>
  </si>
  <si>
    <t>003605</t>
  </si>
  <si>
    <t>31</t>
  </si>
  <si>
    <t>001091</t>
  </si>
  <si>
    <t>медвідське</t>
  </si>
  <si>
    <t>001120</t>
  </si>
  <si>
    <t>001121</t>
  </si>
  <si>
    <t>001101</t>
  </si>
  <si>
    <t>калинівське</t>
  </si>
  <si>
    <t>освітлення</t>
  </si>
  <si>
    <t>001117</t>
  </si>
  <si>
    <t>003601</t>
  </si>
  <si>
    <t>001103</t>
  </si>
  <si>
    <t>001099</t>
  </si>
  <si>
    <t>прочищення</t>
  </si>
  <si>
    <t>003622</t>
  </si>
  <si>
    <t>003623</t>
  </si>
  <si>
    <t>03623</t>
  </si>
  <si>
    <t>003624</t>
  </si>
  <si>
    <t>003627</t>
  </si>
  <si>
    <t>рубка небезпечних дерев</t>
  </si>
  <si>
    <t>2.3</t>
  </si>
  <si>
    <t>003626</t>
  </si>
  <si>
    <t>003625</t>
  </si>
  <si>
    <t>вороновицька</t>
  </si>
  <si>
    <t>Сосонська</t>
  </si>
  <si>
    <t>Дорожненська</t>
  </si>
  <si>
    <t>Розрубка узлісся</t>
  </si>
  <si>
    <t>тв</t>
  </si>
  <si>
    <t>003628</t>
  </si>
  <si>
    <t>Суцільна санітарна</t>
  </si>
  <si>
    <t>24.2</t>
  </si>
  <si>
    <t>003634</t>
  </si>
  <si>
    <t>003633</t>
  </si>
  <si>
    <t>суцільна санітарна</t>
  </si>
  <si>
    <t>25.1</t>
  </si>
  <si>
    <t>27.1</t>
  </si>
  <si>
    <t>15.1</t>
  </si>
  <si>
    <t>6.3</t>
  </si>
  <si>
    <t>13.1</t>
  </si>
  <si>
    <t>003632</t>
  </si>
  <si>
    <t>7.2</t>
  </si>
  <si>
    <t>003631</t>
  </si>
  <si>
    <t>003630</t>
  </si>
  <si>
    <t>003629</t>
  </si>
  <si>
    <t>003645</t>
  </si>
  <si>
    <t>003646</t>
  </si>
  <si>
    <t>9.2</t>
  </si>
  <si>
    <t>003647</t>
  </si>
  <si>
    <t>003648</t>
  </si>
  <si>
    <t>003649</t>
  </si>
  <si>
    <t>19.1</t>
  </si>
  <si>
    <t>003650</t>
  </si>
  <si>
    <t>13.2</t>
  </si>
  <si>
    <t>003651</t>
  </si>
  <si>
    <t>18.1</t>
  </si>
  <si>
    <t>003652</t>
  </si>
  <si>
    <t>003654</t>
  </si>
  <si>
    <t>розчищення лг доріг</t>
  </si>
  <si>
    <t>003642</t>
  </si>
  <si>
    <t>розчистка кварт.просік</t>
  </si>
  <si>
    <t>003641</t>
  </si>
  <si>
    <t>13.5</t>
  </si>
  <si>
    <t>003637</t>
  </si>
  <si>
    <t>рубка переформування</t>
  </si>
  <si>
    <t xml:space="preserve">в тому числі </t>
  </si>
  <si>
    <t>РГК</t>
  </si>
  <si>
    <t>ВСР</t>
  </si>
  <si>
    <t>ССР</t>
  </si>
  <si>
    <t>ПРХ</t>
  </si>
  <si>
    <t>ПРЖ</t>
  </si>
  <si>
    <t>ПРЧ</t>
  </si>
  <si>
    <t>ОСВ</t>
  </si>
  <si>
    <t>розч.доріг</t>
  </si>
  <si>
    <t>розч. Кварт.просік</t>
  </si>
  <si>
    <t>рубка небезп.дер.</t>
  </si>
  <si>
    <t>ПРФ</t>
  </si>
  <si>
    <t>Розр.узлісся</t>
  </si>
  <si>
    <t>Відведено на 01.03.2020</t>
  </si>
  <si>
    <t>Виписано л/к на 01.03.2020 року</t>
  </si>
  <si>
    <t>Залишок до виписки л/к</t>
  </si>
  <si>
    <t>Залишок</t>
  </si>
  <si>
    <t>га</t>
  </si>
  <si>
    <t>Заг.м3</t>
  </si>
  <si>
    <t>Ліквід</t>
  </si>
  <si>
    <t>разом</t>
  </si>
  <si>
    <t>ліквід</t>
  </si>
  <si>
    <t>Інші не пов.з л/г</t>
  </si>
  <si>
    <t>003658</t>
  </si>
  <si>
    <t>003656</t>
  </si>
  <si>
    <t>Сума рентної плати грн.</t>
  </si>
  <si>
    <t xml:space="preserve">прорубування доріг </t>
  </si>
  <si>
    <t>003655</t>
  </si>
  <si>
    <t>003659</t>
  </si>
  <si>
    <t>27</t>
  </si>
  <si>
    <t>41</t>
  </si>
  <si>
    <t>Разом</t>
  </si>
  <si>
    <t>003643</t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</si>
  <si>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</t>
    </r>
    <r>
      <rPr>
        <b/>
        <sz val="14"/>
        <color indexed="8"/>
        <rFont val="Calibri"/>
        <family val="2"/>
        <charset val="204"/>
      </rPr>
      <t>станом на 16.03.2020 року</t>
    </r>
  </si>
  <si>
    <t>Інші пов.з Л/Г</t>
  </si>
  <si>
    <t>Рубка неб. Дерев</t>
  </si>
  <si>
    <t>РП</t>
  </si>
  <si>
    <t>РОЗРАХУНОК</t>
  </si>
  <si>
    <t>по ДП"Вінницький лісгосп" за 1 квартал</t>
  </si>
  <si>
    <t>№ п/п</t>
  </si>
  <si>
    <t>Адміністративний район</t>
  </si>
  <si>
    <t>к-ть деревини що відпускається на пні</t>
  </si>
  <si>
    <t>Всього куб.м.</t>
  </si>
  <si>
    <t>у тому числі</t>
  </si>
  <si>
    <t>ділова</t>
  </si>
  <si>
    <t>дрова</t>
  </si>
  <si>
    <t>хворост</t>
  </si>
  <si>
    <t>Середньозважена плата за деревину, грн./куб.м.</t>
  </si>
  <si>
    <t>Таксова вартість, грн.</t>
  </si>
  <si>
    <t>ліквід з крони</t>
  </si>
  <si>
    <t>Всього плати за деревину грн.</t>
  </si>
  <si>
    <t>ВСЬОГО</t>
  </si>
  <si>
    <t>гн</t>
  </si>
  <si>
    <t>дм</t>
  </si>
  <si>
    <t>вр</t>
  </si>
  <si>
    <t>прб</t>
  </si>
  <si>
    <t>як</t>
  </si>
  <si>
    <t>шнд</t>
  </si>
  <si>
    <t>мх</t>
  </si>
  <si>
    <t>чрн</t>
  </si>
  <si>
    <t>мд</t>
  </si>
  <si>
    <t>кл</t>
  </si>
  <si>
    <t>ів</t>
  </si>
  <si>
    <t>він</t>
  </si>
  <si>
    <t>лісового доходу по рубках головного  користування на 2020 рік</t>
  </si>
  <si>
    <t>21.4</t>
  </si>
  <si>
    <t>003714</t>
  </si>
  <si>
    <t>003716</t>
  </si>
  <si>
    <t>003725</t>
  </si>
  <si>
    <t>003715</t>
  </si>
  <si>
    <t>003719</t>
  </si>
  <si>
    <t>003717</t>
  </si>
  <si>
    <t>003723</t>
  </si>
  <si>
    <t>003720</t>
  </si>
  <si>
    <t>003722</t>
  </si>
  <si>
    <t>003721</t>
  </si>
  <si>
    <t>003718</t>
  </si>
  <si>
    <t>003724</t>
  </si>
  <si>
    <t>003759</t>
  </si>
  <si>
    <t>003760</t>
  </si>
  <si>
    <t>003737</t>
  </si>
  <si>
    <t>003738</t>
  </si>
  <si>
    <t>003780</t>
  </si>
  <si>
    <t>003730</t>
  </si>
  <si>
    <t>003750</t>
  </si>
  <si>
    <t>003781</t>
  </si>
  <si>
    <t>003761</t>
  </si>
  <si>
    <t>003762</t>
  </si>
  <si>
    <t>003727</t>
  </si>
  <si>
    <t>003728</t>
  </si>
  <si>
    <t>003772</t>
  </si>
  <si>
    <t>003773</t>
  </si>
  <si>
    <t>003751</t>
  </si>
  <si>
    <t>003729</t>
  </si>
  <si>
    <t>003726</t>
  </si>
  <si>
    <t>2.4</t>
  </si>
  <si>
    <t>18.2</t>
  </si>
  <si>
    <t>003757</t>
  </si>
  <si>
    <t>003758</t>
  </si>
  <si>
    <t>003739</t>
  </si>
  <si>
    <t>003740</t>
  </si>
  <si>
    <t>003776</t>
  </si>
  <si>
    <t>003775</t>
  </si>
  <si>
    <t>17.2</t>
  </si>
  <si>
    <t>003763</t>
  </si>
  <si>
    <t>003764</t>
  </si>
  <si>
    <t>003774</t>
  </si>
  <si>
    <t>003754</t>
  </si>
  <si>
    <t>186</t>
  </si>
  <si>
    <t>003734</t>
  </si>
  <si>
    <t>003796</t>
  </si>
  <si>
    <t>Агрономічненська</t>
  </si>
  <si>
    <t>003747</t>
  </si>
  <si>
    <t>003777</t>
  </si>
  <si>
    <t>003749</t>
  </si>
  <si>
    <t>003744</t>
  </si>
  <si>
    <t>003745</t>
  </si>
  <si>
    <t>003771</t>
  </si>
  <si>
    <t>розчищення існуючих просік</t>
  </si>
  <si>
    <t>30</t>
  </si>
  <si>
    <t>003793</t>
  </si>
  <si>
    <t>003768</t>
  </si>
  <si>
    <t>003769</t>
  </si>
  <si>
    <t>003735</t>
  </si>
  <si>
    <t>003770</t>
  </si>
  <si>
    <t>003736</t>
  </si>
  <si>
    <t>21.1</t>
  </si>
  <si>
    <t>003741</t>
  </si>
  <si>
    <t>003742</t>
  </si>
  <si>
    <t>003743</t>
  </si>
  <si>
    <t>38</t>
  </si>
  <si>
    <t>розчистка плантації нов ялин</t>
  </si>
  <si>
    <t>003748</t>
  </si>
  <si>
    <t>003755</t>
  </si>
  <si>
    <t>003756</t>
  </si>
  <si>
    <t>003732</t>
  </si>
  <si>
    <t>003733</t>
  </si>
  <si>
    <t>003778</t>
  </si>
  <si>
    <t>7.3</t>
  </si>
  <si>
    <t>003795</t>
  </si>
  <si>
    <t>003752</t>
  </si>
  <si>
    <t>003753</t>
  </si>
  <si>
    <t>3.2</t>
  </si>
  <si>
    <t>003794</t>
  </si>
  <si>
    <t>003788</t>
  </si>
  <si>
    <t>003789</t>
  </si>
  <si>
    <t>003790</t>
  </si>
  <si>
    <t>23</t>
  </si>
  <si>
    <t>003791</t>
  </si>
  <si>
    <t>розчистка окружної межі</t>
  </si>
  <si>
    <t>2,3,5</t>
  </si>
  <si>
    <t>003792</t>
  </si>
  <si>
    <t>003765</t>
  </si>
  <si>
    <t>003766</t>
  </si>
  <si>
    <t>003731</t>
  </si>
  <si>
    <t>003779</t>
  </si>
  <si>
    <t>003767</t>
  </si>
  <si>
    <t>003782</t>
  </si>
  <si>
    <t>003783</t>
  </si>
  <si>
    <t>003784</t>
  </si>
  <si>
    <t>003785</t>
  </si>
  <si>
    <t>003786</t>
  </si>
  <si>
    <t>003787</t>
  </si>
  <si>
    <t>003804</t>
  </si>
  <si>
    <t>003797</t>
  </si>
  <si>
    <t>29</t>
  </si>
  <si>
    <t>003798</t>
  </si>
  <si>
    <t>003799</t>
  </si>
  <si>
    <t>003802</t>
  </si>
  <si>
    <t>12.2</t>
  </si>
  <si>
    <t>003800</t>
  </si>
  <si>
    <t>003801</t>
  </si>
  <si>
    <t>Немирівська</t>
  </si>
  <si>
    <t>003809</t>
  </si>
  <si>
    <t>4.5</t>
  </si>
  <si>
    <t>003810</t>
  </si>
  <si>
    <t>003812</t>
  </si>
  <si>
    <t>003808</t>
  </si>
  <si>
    <t>003807</t>
  </si>
  <si>
    <t>Місцезнаходження, територіальна громада</t>
  </si>
  <si>
    <t>Хмільницький</t>
  </si>
  <si>
    <t>003811</t>
  </si>
  <si>
    <t>003813</t>
  </si>
  <si>
    <t>003814</t>
  </si>
  <si>
    <t>Лука-Мелешківська</t>
  </si>
  <si>
    <t>003820</t>
  </si>
  <si>
    <t>003821</t>
  </si>
  <si>
    <t>003824</t>
  </si>
  <si>
    <t>003827</t>
  </si>
  <si>
    <t>003823</t>
  </si>
  <si>
    <t>003822</t>
  </si>
  <si>
    <t>1.4</t>
  </si>
  <si>
    <t>3.3</t>
  </si>
  <si>
    <t>003825</t>
  </si>
  <si>
    <t>003826</t>
  </si>
  <si>
    <t>003817</t>
  </si>
  <si>
    <t>003818</t>
  </si>
  <si>
    <t>12.3</t>
  </si>
  <si>
    <t>003819</t>
  </si>
  <si>
    <t>003828</t>
  </si>
  <si>
    <r>
      <t xml:space="preserve">про видачу спеціальних дозволів (лісорубних квитків) на заготівлю деревини в порядку рубок головного користування, рубок формування та оздоровлення лісів та інших рубок, повязаних та неповя'заних  з веденням лісового господарства </t>
    </r>
    <r>
      <rPr>
        <b/>
        <sz val="14"/>
        <color indexed="8"/>
        <rFont val="Calibri"/>
        <family val="2"/>
        <charset val="204"/>
      </rPr>
      <t>станом на 01.11.2021 року</t>
    </r>
  </si>
  <si>
    <t>рубка модельних дерев</t>
  </si>
  <si>
    <t>003838</t>
  </si>
  <si>
    <t>39</t>
  </si>
  <si>
    <t>47</t>
  </si>
  <si>
    <t>50</t>
  </si>
  <si>
    <t>48</t>
  </si>
  <si>
    <t>9.4</t>
  </si>
  <si>
    <t>9.3</t>
  </si>
  <si>
    <t>003834</t>
  </si>
  <si>
    <t>003835</t>
  </si>
  <si>
    <t>003850</t>
  </si>
  <si>
    <t>003851</t>
  </si>
  <si>
    <t>15.112021</t>
  </si>
  <si>
    <t>003852</t>
  </si>
</sst>
</file>

<file path=xl/styles.xml><?xml version="1.0" encoding="utf-8"?>
<styleSheet xmlns="http://schemas.openxmlformats.org/spreadsheetml/2006/main">
  <numFmts count="2">
    <numFmt numFmtId="164" formatCode="_-* #,##0.00\ &quot;₴&quot;_-;\-* #,##0.00\ &quot;₴&quot;_-;_-* &quot;-&quot;??\ &quot;₴&quot;_-;_-@_-"/>
    <numFmt numFmtId="165" formatCode="0.0"/>
  </numFmts>
  <fonts count="5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name val="Calibri"/>
      <family val="2"/>
      <charset val="204"/>
    </font>
    <font>
      <b/>
      <i/>
      <u/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17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color indexed="10"/>
      <name val="Calibri"/>
      <family val="2"/>
      <charset val="204"/>
    </font>
    <font>
      <b/>
      <sz val="12"/>
      <name val="Calibri"/>
      <family val="2"/>
      <charset val="204"/>
    </font>
    <font>
      <b/>
      <i/>
      <u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u/>
      <sz val="14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7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/>
    <xf numFmtId="165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14" fillId="0" borderId="0" xfId="0" applyFont="1"/>
    <xf numFmtId="49" fontId="6" fillId="0" borderId="0" xfId="0" applyNumberFormat="1" applyFont="1"/>
    <xf numFmtId="49" fontId="9" fillId="0" borderId="0" xfId="0" applyNumberFormat="1" applyFont="1"/>
    <xf numFmtId="165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9" fontId="6" fillId="0" borderId="0" xfId="0" applyNumberFormat="1" applyFont="1" applyFill="1"/>
    <xf numFmtId="49" fontId="9" fillId="0" borderId="0" xfId="0" applyNumberFormat="1" applyFont="1" applyFill="1"/>
    <xf numFmtId="14" fontId="2" fillId="2" borderId="1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/>
    <xf numFmtId="14" fontId="6" fillId="0" borderId="0" xfId="0" applyNumberFormat="1" applyFont="1"/>
    <xf numFmtId="14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0" fontId="0" fillId="2" borderId="0" xfId="0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49" fontId="2" fillId="0" borderId="0" xfId="0" applyNumberFormat="1" applyFont="1" applyFill="1" applyBorder="1"/>
    <xf numFmtId="14" fontId="2" fillId="2" borderId="0" xfId="0" applyNumberFormat="1" applyFont="1" applyFill="1" applyBorder="1"/>
    <xf numFmtId="49" fontId="2" fillId="2" borderId="0" xfId="0" applyNumberFormat="1" applyFont="1" applyFill="1" applyBorder="1"/>
    <xf numFmtId="0" fontId="9" fillId="2" borderId="0" xfId="0" applyFont="1" applyFill="1" applyBorder="1"/>
    <xf numFmtId="0" fontId="10" fillId="0" borderId="0" xfId="0" applyFont="1" applyBorder="1"/>
    <xf numFmtId="0" fontId="14" fillId="0" borderId="0" xfId="0" applyFont="1" applyFill="1" applyBorder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165" fontId="14" fillId="0" borderId="0" xfId="0" applyNumberFormat="1" applyFont="1" applyBorder="1"/>
    <xf numFmtId="165" fontId="10" fillId="0" borderId="0" xfId="0" applyNumberFormat="1" applyFont="1" applyBorder="1"/>
    <xf numFmtId="0" fontId="6" fillId="0" borderId="0" xfId="0" applyFont="1" applyAlignment="1">
      <alignment horizontal="center" vertical="center" wrapText="1"/>
    </xf>
    <xf numFmtId="0" fontId="7" fillId="0" borderId="0" xfId="1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7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/>
    <xf numFmtId="0" fontId="19" fillId="2" borderId="0" xfId="0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vertical="center" wrapText="1"/>
    </xf>
    <xf numFmtId="0" fontId="19" fillId="2" borderId="0" xfId="0" applyFont="1" applyFill="1" applyBorder="1"/>
    <xf numFmtId="0" fontId="2" fillId="2" borderId="0" xfId="0" applyFont="1" applyFill="1" applyBorder="1"/>
    <xf numFmtId="0" fontId="19" fillId="0" borderId="0" xfId="0" applyFont="1"/>
    <xf numFmtId="0" fontId="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6" fillId="0" borderId="0" xfId="0" applyFont="1" applyBorder="1"/>
    <xf numFmtId="0" fontId="16" fillId="0" borderId="0" xfId="0" applyFont="1" applyBorder="1"/>
    <xf numFmtId="165" fontId="9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49" fontId="9" fillId="0" borderId="1" xfId="0" applyNumberFormat="1" applyFont="1" applyBorder="1"/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16" fontId="9" fillId="0" borderId="0" xfId="0" applyNumberFormat="1" applyFont="1" applyAlignment="1">
      <alignment horizontal="center"/>
    </xf>
    <xf numFmtId="49" fontId="2" fillId="0" borderId="1" xfId="0" applyNumberFormat="1" applyFont="1" applyBorder="1"/>
    <xf numFmtId="49" fontId="23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49" fontId="9" fillId="0" borderId="0" xfId="0" applyNumberFormat="1" applyFont="1" applyBorder="1"/>
    <xf numFmtId="1" fontId="9" fillId="2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0" fontId="21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/>
    <xf numFmtId="0" fontId="15" fillId="0" borderId="0" xfId="0" applyFont="1" applyAlignment="1">
      <alignment horizontal="center"/>
    </xf>
    <xf numFmtId="0" fontId="15" fillId="0" borderId="3" xfId="0" applyFont="1" applyBorder="1"/>
    <xf numFmtId="0" fontId="26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6" fillId="0" borderId="0" xfId="0" applyFont="1"/>
    <xf numFmtId="49" fontId="2" fillId="3" borderId="2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165" fontId="14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165" fontId="30" fillId="0" borderId="1" xfId="0" applyNumberFormat="1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165" fontId="31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7" fillId="0" borderId="0" xfId="1" applyFont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2" borderId="0" xfId="1" applyFont="1" applyFill="1" applyBorder="1" applyAlignment="1">
      <alignment horizontal="center" vertical="center" shrinkToFit="1"/>
    </xf>
    <xf numFmtId="0" fontId="3" fillId="2" borderId="0" xfId="1" applyFill="1" applyBorder="1" applyAlignment="1">
      <alignment horizontal="center" vertical="center" shrinkToFit="1"/>
    </xf>
    <xf numFmtId="14" fontId="0" fillId="2" borderId="0" xfId="0" applyNumberForma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shrinkToFit="1"/>
    </xf>
    <xf numFmtId="0" fontId="9" fillId="2" borderId="0" xfId="0" applyFont="1" applyFill="1" applyBorder="1" applyAlignment="1">
      <alignment horizontal="center" shrinkToFit="1"/>
    </xf>
    <xf numFmtId="0" fontId="10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/>
    </xf>
    <xf numFmtId="0" fontId="7" fillId="0" borderId="0" xfId="1" applyFont="1" applyBorder="1"/>
    <xf numFmtId="0" fontId="0" fillId="0" borderId="0" xfId="0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27" fillId="0" borderId="0" xfId="0" applyFont="1" applyBorder="1"/>
    <xf numFmtId="0" fontId="26" fillId="0" borderId="0" xfId="0" applyFont="1" applyBorder="1"/>
    <xf numFmtId="0" fontId="18" fillId="0" borderId="0" xfId="0" applyFont="1" applyBorder="1" applyAlignment="1">
      <alignment horizontal="center"/>
    </xf>
    <xf numFmtId="0" fontId="17" fillId="0" borderId="0" xfId="0" applyFont="1" applyBorder="1"/>
    <xf numFmtId="0" fontId="11" fillId="0" borderId="0" xfId="0" applyFont="1" applyBorder="1" applyAlignment="1">
      <alignment horizontal="center" shrinkToFi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11" fillId="0" borderId="0" xfId="0" applyFont="1" applyBorder="1"/>
    <xf numFmtId="49" fontId="12" fillId="0" borderId="0" xfId="0" applyNumberFormat="1" applyFont="1" applyBorder="1" applyAlignment="1">
      <alignment horizontal="center"/>
    </xf>
    <xf numFmtId="14" fontId="6" fillId="0" borderId="0" xfId="0" applyNumberFormat="1" applyFont="1" applyBorder="1"/>
    <xf numFmtId="0" fontId="19" fillId="0" borderId="0" xfId="0" applyFont="1" applyBorder="1"/>
    <xf numFmtId="0" fontId="0" fillId="0" borderId="0" xfId="0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49" fontId="9" fillId="0" borderId="0" xfId="0" applyNumberFormat="1" applyFont="1" applyFill="1" applyBorder="1"/>
    <xf numFmtId="14" fontId="9" fillId="0" borderId="0" xfId="0" applyNumberFormat="1" applyFont="1" applyBorder="1"/>
    <xf numFmtId="165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/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textRotation="90" wrapText="1"/>
    </xf>
    <xf numFmtId="1" fontId="19" fillId="2" borderId="1" xfId="0" applyNumberFormat="1" applyFont="1" applyFill="1" applyBorder="1" applyAlignment="1">
      <alignment horizontal="center" vertical="center" textRotation="90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9" fillId="2" borderId="0" xfId="0" applyFont="1" applyFill="1"/>
    <xf numFmtId="0" fontId="19" fillId="2" borderId="0" xfId="0" applyFont="1" applyFill="1" applyAlignment="1">
      <alignment horizontal="center"/>
    </xf>
    <xf numFmtId="0" fontId="41" fillId="2" borderId="0" xfId="1" applyFont="1" applyFill="1" applyAlignment="1">
      <alignment horizontal="center" vertical="center" wrapText="1"/>
    </xf>
    <xf numFmtId="0" fontId="40" fillId="2" borderId="0" xfId="0" applyFont="1" applyFill="1"/>
    <xf numFmtId="0" fontId="42" fillId="2" borderId="0" xfId="0" applyFont="1" applyFill="1"/>
    <xf numFmtId="0" fontId="43" fillId="2" borderId="0" xfId="1" applyFont="1" applyFill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1" fontId="43" fillId="2" borderId="0" xfId="1" applyNumberFormat="1" applyFont="1" applyFill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shrinkToFit="1"/>
    </xf>
    <xf numFmtId="1" fontId="42" fillId="2" borderId="0" xfId="1" applyNumberFormat="1" applyFont="1" applyFill="1" applyAlignment="1">
      <alignment horizontal="center" vertical="center" wrapText="1"/>
    </xf>
    <xf numFmtId="0" fontId="42" fillId="2" borderId="0" xfId="1" applyFont="1" applyFill="1" applyAlignment="1">
      <alignment horizontal="center" vertical="center" wrapText="1"/>
    </xf>
    <xf numFmtId="0" fontId="42" fillId="2" borderId="0" xfId="1" applyFont="1" applyFill="1" applyAlignment="1">
      <alignment horizontal="center"/>
    </xf>
    <xf numFmtId="0" fontId="45" fillId="2" borderId="0" xfId="1" applyFont="1" applyFill="1"/>
    <xf numFmtId="0" fontId="44" fillId="2" borderId="0" xfId="1" applyFont="1" applyFill="1"/>
    <xf numFmtId="0" fontId="23" fillId="2" borderId="4" xfId="0" applyFont="1" applyFill="1" applyBorder="1" applyAlignment="1">
      <alignment horizontal="center" vertical="center" textRotation="90" wrapText="1"/>
    </xf>
    <xf numFmtId="0" fontId="23" fillId="2" borderId="4" xfId="0" applyFont="1" applyFill="1" applyBorder="1" applyAlignment="1">
      <alignment horizontal="center" vertical="center" textRotation="90" shrinkToFi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49" fontId="23" fillId="2" borderId="4" xfId="0" applyNumberFormat="1" applyFont="1" applyFill="1" applyBorder="1" applyAlignment="1">
      <alignment horizontal="center" vertical="center" textRotation="90" wrapText="1"/>
    </xf>
    <xf numFmtId="0" fontId="40" fillId="2" borderId="0" xfId="0" applyFont="1" applyFill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textRotation="90" wrapText="1"/>
    </xf>
    <xf numFmtId="0" fontId="23" fillId="2" borderId="2" xfId="0" applyFont="1" applyFill="1" applyBorder="1" applyAlignment="1">
      <alignment horizontal="center" vertical="center" textRotation="90" shrinkToFit="1"/>
    </xf>
    <xf numFmtId="0" fontId="23" fillId="2" borderId="1" xfId="0" applyFont="1" applyFill="1" applyBorder="1" applyAlignment="1">
      <alignment horizontal="center"/>
    </xf>
    <xf numFmtId="49" fontId="23" fillId="2" borderId="2" xfId="0" applyNumberFormat="1" applyFont="1" applyFill="1" applyBorder="1" applyAlignment="1">
      <alignment horizontal="center" vertical="center" textRotation="90" wrapText="1"/>
    </xf>
    <xf numFmtId="0" fontId="23" fillId="2" borderId="0" xfId="0" applyFont="1" applyFill="1" applyAlignment="1">
      <alignment horizontal="center"/>
    </xf>
    <xf numFmtId="0" fontId="23" fillId="2" borderId="3" xfId="0" applyFont="1" applyFill="1" applyBorder="1"/>
    <xf numFmtId="0" fontId="42" fillId="2" borderId="0" xfId="0" applyFont="1" applyFill="1" applyAlignment="1">
      <alignment horizontal="center"/>
    </xf>
    <xf numFmtId="0" fontId="44" fillId="2" borderId="0" xfId="0" applyFont="1" applyFill="1"/>
    <xf numFmtId="49" fontId="45" fillId="2" borderId="2" xfId="0" applyNumberFormat="1" applyFont="1" applyFill="1" applyBorder="1" applyAlignment="1">
      <alignment horizontal="center" vertical="center" wrapText="1"/>
    </xf>
    <xf numFmtId="49" fontId="45" fillId="2" borderId="2" xfId="0" applyNumberFormat="1" applyFont="1" applyFill="1" applyBorder="1" applyAlignment="1">
      <alignment horizontal="center" vertical="center" shrinkToFit="1"/>
    </xf>
    <xf numFmtId="49" fontId="45" fillId="2" borderId="1" xfId="0" applyNumberFormat="1" applyFont="1" applyFill="1" applyBorder="1" applyAlignment="1">
      <alignment horizontal="center"/>
    </xf>
    <xf numFmtId="49" fontId="40" fillId="2" borderId="1" xfId="0" applyNumberFormat="1" applyFont="1" applyFill="1" applyBorder="1" applyAlignment="1">
      <alignment horizontal="center" vertical="center" wrapText="1"/>
    </xf>
    <xf numFmtId="49" fontId="40" fillId="2" borderId="4" xfId="0" applyNumberFormat="1" applyFont="1" applyFill="1" applyBorder="1" applyAlignment="1">
      <alignment horizontal="center" vertical="center" wrapText="1"/>
    </xf>
    <xf numFmtId="1" fontId="40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shrinkToFit="1"/>
    </xf>
    <xf numFmtId="165" fontId="23" fillId="2" borderId="2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14" fontId="23" fillId="2" borderId="2" xfId="0" applyNumberFormat="1" applyFont="1" applyFill="1" applyBorder="1" applyAlignment="1">
      <alignment horizontal="center" vertical="center" wrapText="1"/>
    </xf>
    <xf numFmtId="1" fontId="23" fillId="2" borderId="1" xfId="0" applyNumberFormat="1" applyFont="1" applyFill="1" applyBorder="1"/>
    <xf numFmtId="49" fontId="19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23" fillId="2" borderId="2" xfId="0" applyFont="1" applyFill="1" applyBorder="1" applyAlignment="1">
      <alignment horizontal="center"/>
    </xf>
    <xf numFmtId="165" fontId="23" fillId="2" borderId="1" xfId="0" applyNumberFormat="1" applyFont="1" applyFill="1" applyBorder="1" applyAlignment="1">
      <alignment horizontal="center"/>
    </xf>
    <xf numFmtId="165" fontId="23" fillId="2" borderId="0" xfId="0" applyNumberFormat="1" applyFont="1" applyFill="1" applyAlignment="1">
      <alignment horizontal="center"/>
    </xf>
    <xf numFmtId="49" fontId="19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9" fillId="2" borderId="2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" xfId="0" applyFont="1" applyFill="1" applyBorder="1" applyAlignment="1" applyProtection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9" fontId="23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14" fontId="23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23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1" fontId="23" fillId="2" borderId="0" xfId="0" applyNumberFormat="1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/>
    </xf>
    <xf numFmtId="0" fontId="40" fillId="2" borderId="0" xfId="0" applyFont="1" applyFill="1" applyBorder="1"/>
    <xf numFmtId="0" fontId="44" fillId="2" borderId="0" xfId="0" applyFont="1" applyFill="1" applyBorder="1"/>
    <xf numFmtId="0" fontId="42" fillId="2" borderId="0" xfId="0" applyFont="1" applyFill="1" applyBorder="1"/>
    <xf numFmtId="0" fontId="40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shrinkToFit="1"/>
    </xf>
    <xf numFmtId="0" fontId="45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165" fontId="23" fillId="2" borderId="0" xfId="0" applyNumberFormat="1" applyFont="1" applyFill="1" applyBorder="1" applyAlignment="1">
      <alignment horizontal="center" vertical="center" wrapText="1"/>
    </xf>
    <xf numFmtId="0" fontId="46" fillId="2" borderId="0" xfId="0" applyFont="1" applyFill="1" applyBorder="1"/>
    <xf numFmtId="0" fontId="23" fillId="2" borderId="0" xfId="1" applyFont="1" applyFill="1" applyBorder="1" applyAlignment="1">
      <alignment horizontal="center" vertical="center" shrinkToFit="1"/>
    </xf>
    <xf numFmtId="0" fontId="23" fillId="2" borderId="0" xfId="1" applyFont="1" applyFill="1" applyBorder="1" applyAlignment="1">
      <alignment horizontal="center" vertical="center" wrapText="1"/>
    </xf>
    <xf numFmtId="0" fontId="45" fillId="2" borderId="0" xfId="1" applyFont="1" applyFill="1" applyBorder="1" applyAlignment="1">
      <alignment horizontal="center" vertical="center" shrinkToFit="1"/>
    </xf>
    <xf numFmtId="0" fontId="45" fillId="2" borderId="0" xfId="1" applyFont="1" applyFill="1" applyBorder="1" applyAlignment="1">
      <alignment horizontal="center" vertical="center" wrapText="1"/>
    </xf>
    <xf numFmtId="0" fontId="23" fillId="2" borderId="0" xfId="0" applyFont="1" applyFill="1"/>
    <xf numFmtId="0" fontId="23" fillId="2" borderId="0" xfId="0" applyFont="1" applyFill="1" applyAlignment="1">
      <alignment horizontal="center" vertical="center" wrapText="1"/>
    </xf>
    <xf numFmtId="14" fontId="40" fillId="2" borderId="0" xfId="0" applyNumberFormat="1" applyFont="1" applyFill="1" applyBorder="1" applyAlignment="1">
      <alignment horizontal="center" vertical="center" shrinkToFit="1"/>
    </xf>
    <xf numFmtId="14" fontId="40" fillId="2" borderId="0" xfId="0" applyNumberFormat="1" applyFont="1" applyFill="1" applyBorder="1" applyAlignment="1">
      <alignment horizontal="center" vertical="center"/>
    </xf>
    <xf numFmtId="1" fontId="47" fillId="2" borderId="0" xfId="0" applyNumberFormat="1" applyFont="1" applyFill="1" applyBorder="1" applyAlignment="1">
      <alignment horizontal="center" vertical="center" wrapText="1"/>
    </xf>
    <xf numFmtId="1" fontId="23" fillId="2" borderId="0" xfId="0" applyNumberFormat="1" applyFont="1" applyFill="1" applyBorder="1" applyAlignment="1">
      <alignment horizontal="center"/>
    </xf>
    <xf numFmtId="0" fontId="48" fillId="2" borderId="0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shrinkToFit="1"/>
    </xf>
    <xf numFmtId="0" fontId="40" fillId="2" borderId="0" xfId="0" applyFont="1" applyFill="1" applyBorder="1" applyAlignment="1">
      <alignment horizontal="center" vertical="center"/>
    </xf>
    <xf numFmtId="2" fontId="23" fillId="2" borderId="0" xfId="0" applyNumberFormat="1" applyFont="1" applyFill="1" applyBorder="1" applyAlignment="1">
      <alignment horizontal="center" vertical="center" wrapText="1"/>
    </xf>
    <xf numFmtId="49" fontId="23" fillId="2" borderId="0" xfId="0" applyNumberFormat="1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/>
    </xf>
    <xf numFmtId="0" fontId="40" fillId="2" borderId="0" xfId="0" applyFont="1" applyFill="1" applyBorder="1" applyAlignment="1">
      <alignment horizontal="center" shrinkToFit="1"/>
    </xf>
    <xf numFmtId="49" fontId="23" fillId="2" borderId="0" xfId="0" applyNumberFormat="1" applyFont="1" applyFill="1" applyBorder="1"/>
    <xf numFmtId="14" fontId="23" fillId="2" borderId="0" xfId="0" applyNumberFormat="1" applyFont="1" applyFill="1" applyBorder="1"/>
    <xf numFmtId="1" fontId="23" fillId="2" borderId="0" xfId="0" applyNumberFormat="1" applyFont="1" applyFill="1" applyBorder="1"/>
    <xf numFmtId="0" fontId="23" fillId="2" borderId="0" xfId="0" applyFont="1" applyFill="1" applyBorder="1" applyAlignment="1">
      <alignment horizontal="center" shrinkToFit="1"/>
    </xf>
    <xf numFmtId="0" fontId="50" fillId="2" borderId="0" xfId="0" applyFont="1" applyFill="1" applyBorder="1"/>
    <xf numFmtId="0" fontId="51" fillId="2" borderId="0" xfId="0" applyFont="1" applyFill="1" applyBorder="1"/>
    <xf numFmtId="0" fontId="50" fillId="2" borderId="0" xfId="0" applyFont="1" applyFill="1" applyBorder="1" applyAlignment="1">
      <alignment shrinkToFit="1"/>
    </xf>
    <xf numFmtId="0" fontId="50" fillId="2" borderId="0" xfId="0" applyFont="1" applyFill="1" applyBorder="1" applyAlignment="1">
      <alignment vertical="center"/>
    </xf>
    <xf numFmtId="1" fontId="51" fillId="2" borderId="0" xfId="0" applyNumberFormat="1" applyFont="1" applyFill="1" applyBorder="1"/>
    <xf numFmtId="0" fontId="51" fillId="2" borderId="0" xfId="0" applyFont="1" applyFill="1" applyBorder="1" applyAlignment="1">
      <alignment horizontal="center"/>
    </xf>
    <xf numFmtId="0" fontId="51" fillId="2" borderId="0" xfId="0" applyFont="1" applyFill="1"/>
    <xf numFmtId="0" fontId="51" fillId="2" borderId="0" xfId="0" applyFont="1" applyFill="1" applyAlignment="1">
      <alignment horizontal="center"/>
    </xf>
    <xf numFmtId="0" fontId="50" fillId="2" borderId="0" xfId="0" applyFont="1" applyFill="1"/>
    <xf numFmtId="0" fontId="31" fillId="2" borderId="0" xfId="0" applyFont="1" applyFill="1"/>
    <xf numFmtId="165" fontId="51" fillId="2" borderId="0" xfId="0" applyNumberFormat="1" applyFont="1" applyFill="1" applyBorder="1"/>
    <xf numFmtId="165" fontId="50" fillId="2" borderId="0" xfId="0" applyNumberFormat="1" applyFont="1" applyFill="1" applyBorder="1"/>
    <xf numFmtId="165" fontId="51" fillId="2" borderId="0" xfId="0" applyNumberFormat="1" applyFont="1" applyFill="1" applyBorder="1" applyAlignment="1">
      <alignment horizontal="center"/>
    </xf>
    <xf numFmtId="0" fontId="50" fillId="2" borderId="0" xfId="0" applyFont="1" applyFill="1" applyAlignment="1">
      <alignment shrinkToFit="1"/>
    </xf>
    <xf numFmtId="0" fontId="50" fillId="2" borderId="0" xfId="0" applyFont="1" applyFill="1" applyAlignment="1">
      <alignment vertical="center"/>
    </xf>
    <xf numFmtId="165" fontId="51" fillId="2" borderId="0" xfId="0" applyNumberFormat="1" applyFont="1" applyFill="1"/>
    <xf numFmtId="165" fontId="50" fillId="2" borderId="0" xfId="0" applyNumberFormat="1" applyFont="1" applyFill="1"/>
    <xf numFmtId="1" fontId="51" fillId="2" borderId="0" xfId="0" applyNumberFormat="1" applyFont="1" applyFill="1"/>
    <xf numFmtId="165" fontId="51" fillId="2" borderId="0" xfId="0" applyNumberFormat="1" applyFont="1" applyFill="1" applyAlignment="1">
      <alignment horizontal="center"/>
    </xf>
    <xf numFmtId="0" fontId="43" fillId="2" borderId="0" xfId="0" applyFont="1" applyFill="1"/>
    <xf numFmtId="0" fontId="43" fillId="2" borderId="0" xfId="0" applyFont="1" applyFill="1" applyAlignment="1">
      <alignment horizontal="center" shrinkToFit="1"/>
    </xf>
    <xf numFmtId="0" fontId="43" fillId="2" borderId="0" xfId="0" applyFont="1" applyFill="1" applyAlignment="1">
      <alignment horizontal="center"/>
    </xf>
    <xf numFmtId="0" fontId="43" fillId="2" borderId="0" xfId="0" applyFont="1" applyFill="1" applyAlignment="1">
      <alignment horizontal="center" vertical="center"/>
    </xf>
    <xf numFmtId="49" fontId="42" fillId="2" borderId="0" xfId="0" applyNumberFormat="1" applyFont="1" applyFill="1"/>
    <xf numFmtId="1" fontId="42" fillId="2" borderId="0" xfId="0" applyNumberFormat="1" applyFont="1" applyFill="1"/>
    <xf numFmtId="49" fontId="42" fillId="2" borderId="0" xfId="0" applyNumberFormat="1" applyFont="1" applyFill="1" applyAlignment="1">
      <alignment horizontal="center"/>
    </xf>
    <xf numFmtId="14" fontId="42" fillId="2" borderId="0" xfId="0" applyNumberFormat="1" applyFont="1" applyFill="1"/>
    <xf numFmtId="0" fontId="40" fillId="2" borderId="0" xfId="0" applyFont="1" applyFill="1" applyAlignment="1">
      <alignment horizontal="center" shrinkToFit="1"/>
    </xf>
    <xf numFmtId="0" fontId="40" fillId="2" borderId="0" xfId="0" applyFont="1" applyFill="1" applyAlignment="1">
      <alignment horizontal="center"/>
    </xf>
    <xf numFmtId="0" fontId="40" fillId="2" borderId="0" xfId="0" applyFont="1" applyFill="1" applyAlignment="1">
      <alignment horizontal="center" vertical="center"/>
    </xf>
    <xf numFmtId="49" fontId="23" fillId="2" borderId="0" xfId="0" applyNumberFormat="1" applyFont="1" applyFill="1"/>
    <xf numFmtId="14" fontId="23" fillId="2" borderId="0" xfId="0" applyNumberFormat="1" applyFont="1" applyFill="1"/>
    <xf numFmtId="1" fontId="23" fillId="2" borderId="0" xfId="0" applyNumberFormat="1" applyFont="1" applyFill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shrinkToFit="1"/>
    </xf>
    <xf numFmtId="49" fontId="2" fillId="0" borderId="0" xfId="0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 textRotation="90" wrapText="1"/>
    </xf>
    <xf numFmtId="49" fontId="19" fillId="0" borderId="0" xfId="0" applyNumberFormat="1" applyFont="1" applyBorder="1" applyAlignment="1">
      <alignment horizontal="center" vertical="center" textRotation="90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shrinkToFit="1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49" fontId="25" fillId="0" borderId="0" xfId="0" applyNumberFormat="1" applyFont="1" applyFill="1" applyBorder="1" applyAlignment="1" applyProtection="1">
      <alignment horizontal="center" vertical="top" wrapText="1"/>
      <protection locked="0"/>
    </xf>
    <xf numFmtId="165" fontId="25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Border="1" applyAlignment="1">
      <alignment horizontal="center"/>
    </xf>
    <xf numFmtId="49" fontId="23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26" fillId="0" borderId="0" xfId="0" applyFont="1" applyBorder="1" applyAlignment="1">
      <alignment horizontal="center"/>
    </xf>
    <xf numFmtId="0" fontId="38" fillId="0" borderId="0" xfId="0" applyFont="1" applyBorder="1"/>
    <xf numFmtId="0" fontId="28" fillId="0" borderId="0" xfId="0" applyFont="1" applyBorder="1"/>
    <xf numFmtId="2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49" fontId="15" fillId="0" borderId="0" xfId="0" applyNumberFormat="1" applyFont="1" applyBorder="1"/>
    <xf numFmtId="0" fontId="22" fillId="0" borderId="0" xfId="0" applyFont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1" fillId="2" borderId="0" xfId="1" applyFont="1" applyFill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43" fillId="2" borderId="0" xfId="1" applyFont="1" applyFill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textRotation="90" wrapText="1"/>
    </xf>
    <xf numFmtId="49" fontId="2" fillId="0" borderId="2" xfId="0" applyNumberFormat="1" applyFont="1" applyBorder="1" applyAlignment="1">
      <alignment horizontal="center" vertical="center" textRotation="90" wrapText="1"/>
    </xf>
    <xf numFmtId="49" fontId="2" fillId="0" borderId="4" xfId="0" applyNumberFormat="1" applyFont="1" applyFill="1" applyBorder="1" applyAlignment="1">
      <alignment horizontal="center" vertical="center" textRotation="90" wrapText="1"/>
    </xf>
    <xf numFmtId="49" fontId="2" fillId="0" borderId="2" xfId="0" applyNumberFormat="1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49" fontId="19" fillId="0" borderId="1" xfId="0" applyNumberFormat="1" applyFont="1" applyBorder="1" applyAlignment="1">
      <alignment horizontal="center" vertical="center" textRotation="90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1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Аркуш14"/>
  <dimension ref="A1:AA1313"/>
  <sheetViews>
    <sheetView tabSelected="1" zoomScaleNormal="100" workbookViewId="0">
      <selection activeCell="A9" sqref="A9:A586"/>
    </sheetView>
  </sheetViews>
  <sheetFormatPr defaultRowHeight="18.75"/>
  <cols>
    <col min="1" max="1" width="5.42578125" style="240" customWidth="1"/>
    <col min="2" max="2" width="14.85546875" style="237" customWidth="1"/>
    <col min="3" max="3" width="6" style="237" hidden="1" customWidth="1"/>
    <col min="4" max="4" width="17.7109375" style="368" customWidth="1"/>
    <col min="5" max="5" width="5.7109375" style="369" customWidth="1"/>
    <col min="6" max="6" width="5" style="369" customWidth="1"/>
    <col min="7" max="7" width="6.7109375" style="369" customWidth="1"/>
    <col min="8" max="8" width="7" style="369" customWidth="1"/>
    <col min="9" max="9" width="8" style="369" customWidth="1"/>
    <col min="10" max="10" width="10.28515625" style="369" customWidth="1"/>
    <col min="11" max="11" width="10.7109375" style="369" customWidth="1"/>
    <col min="12" max="12" width="6.85546875" style="369" customWidth="1"/>
    <col min="13" max="13" width="9.85546875" style="370" customWidth="1"/>
    <col min="14" max="14" width="10.85546875" style="371" customWidth="1"/>
    <col min="15" max="15" width="17.28515625" style="372" customWidth="1"/>
    <col min="16" max="16" width="14" style="240" customWidth="1"/>
    <col min="17" max="17" width="20.28515625" style="240" customWidth="1"/>
    <col min="18" max="18" width="13" style="238" customWidth="1"/>
    <col min="19" max="19" width="15.5703125" style="373" customWidth="1"/>
    <col min="20" max="20" width="11.85546875" style="265" customWidth="1"/>
    <col min="21" max="21" width="14.140625" style="265" customWidth="1"/>
    <col min="22" max="22" width="18.5703125" style="322" hidden="1" customWidth="1"/>
    <col min="23" max="23" width="9" style="267" customWidth="1"/>
    <col min="24" max="24" width="12.140625" style="240" bestFit="1" customWidth="1"/>
    <col min="25" max="25" width="9.140625" style="268"/>
    <col min="26" max="26" width="9.140625" style="240"/>
    <col min="27" max="27" width="12" style="241" customWidth="1"/>
    <col min="28" max="16384" width="9.140625" style="240"/>
  </cols>
  <sheetData>
    <row r="1" spans="1:27" ht="21">
      <c r="A1" s="418" t="s">
        <v>17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239"/>
      <c r="U1" s="239"/>
      <c r="V1" s="239"/>
      <c r="W1" s="239"/>
      <c r="X1" s="239"/>
      <c r="Y1" s="239"/>
    </row>
    <row r="2" spans="1:27" ht="37.15" customHeight="1">
      <c r="A2" s="420" t="s">
        <v>482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242"/>
      <c r="U2" s="242"/>
      <c r="V2" s="242"/>
      <c r="W2" s="242"/>
      <c r="X2" s="242"/>
      <c r="Y2" s="242"/>
    </row>
    <row r="3" spans="1:27" ht="37.15" customHeight="1">
      <c r="A3" s="242"/>
      <c r="B3" s="242"/>
      <c r="C3" s="242"/>
      <c r="D3" s="243" t="s">
        <v>121</v>
      </c>
      <c r="E3" s="244"/>
      <c r="F3" s="244"/>
      <c r="G3" s="244"/>
      <c r="H3" s="244"/>
      <c r="I3" s="244"/>
      <c r="J3" s="244"/>
      <c r="K3" s="244"/>
      <c r="L3" s="244"/>
      <c r="M3" s="242"/>
      <c r="N3" s="242"/>
      <c r="O3" s="242"/>
      <c r="P3" s="242"/>
      <c r="Q3" s="242"/>
      <c r="R3" s="242"/>
      <c r="S3" s="245"/>
      <c r="T3" s="242"/>
      <c r="U3" s="242"/>
      <c r="V3" s="242"/>
      <c r="W3" s="242"/>
      <c r="X3" s="242"/>
      <c r="Y3" s="242"/>
    </row>
    <row r="4" spans="1:27" ht="27" customHeight="1" thickBot="1">
      <c r="A4" s="246" t="s">
        <v>19</v>
      </c>
      <c r="B4" s="246"/>
      <c r="C4" s="246"/>
      <c r="D4" s="247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8"/>
      <c r="T4" s="249"/>
      <c r="U4" s="249"/>
      <c r="V4" s="249"/>
      <c r="W4" s="250"/>
      <c r="X4" s="251"/>
      <c r="Y4" s="252"/>
    </row>
    <row r="5" spans="1:27" s="258" customFormat="1" ht="87" customHeight="1">
      <c r="A5" s="253" t="s">
        <v>120</v>
      </c>
      <c r="B5" s="253" t="s">
        <v>108</v>
      </c>
      <c r="C5" s="253" t="s">
        <v>109</v>
      </c>
      <c r="D5" s="254" t="s">
        <v>2</v>
      </c>
      <c r="E5" s="253" t="s">
        <v>110</v>
      </c>
      <c r="F5" s="253" t="s">
        <v>111</v>
      </c>
      <c r="G5" s="253" t="s">
        <v>112</v>
      </c>
      <c r="H5" s="253" t="s">
        <v>113</v>
      </c>
      <c r="I5" s="255" t="s">
        <v>3</v>
      </c>
      <c r="J5" s="256"/>
      <c r="K5" s="227" t="s">
        <v>117</v>
      </c>
      <c r="L5" s="228"/>
      <c r="M5" s="257" t="s">
        <v>114</v>
      </c>
      <c r="N5" s="257" t="s">
        <v>0</v>
      </c>
      <c r="O5" s="257" t="s">
        <v>1</v>
      </c>
      <c r="P5" s="257" t="s">
        <v>14</v>
      </c>
      <c r="Q5" s="257" t="s">
        <v>461</v>
      </c>
      <c r="R5" s="229"/>
      <c r="S5" s="230" t="s">
        <v>116</v>
      </c>
      <c r="V5" s="255" t="s">
        <v>35</v>
      </c>
      <c r="W5" s="259"/>
      <c r="Y5" s="260"/>
      <c r="AA5" s="259"/>
    </row>
    <row r="6" spans="1:27" ht="90">
      <c r="A6" s="261"/>
      <c r="B6" s="261"/>
      <c r="C6" s="261"/>
      <c r="D6" s="262"/>
      <c r="E6" s="261"/>
      <c r="F6" s="261"/>
      <c r="G6" s="261"/>
      <c r="H6" s="261"/>
      <c r="I6" s="263" t="s">
        <v>4</v>
      </c>
      <c r="J6" s="263" t="s">
        <v>5</v>
      </c>
      <c r="K6" s="231" t="s">
        <v>118</v>
      </c>
      <c r="L6" s="231" t="s">
        <v>119</v>
      </c>
      <c r="M6" s="264"/>
      <c r="N6" s="264"/>
      <c r="O6" s="264"/>
      <c r="P6" s="264"/>
      <c r="Q6" s="264"/>
      <c r="R6" s="229"/>
      <c r="S6" s="230"/>
      <c r="V6" s="266"/>
    </row>
    <row r="7" spans="1:27">
      <c r="A7" s="261"/>
      <c r="B7" s="261"/>
      <c r="C7" s="261"/>
      <c r="D7" s="262"/>
      <c r="E7" s="261"/>
      <c r="F7" s="261"/>
      <c r="G7" s="261"/>
      <c r="H7" s="261"/>
      <c r="I7" s="263"/>
      <c r="J7" s="263"/>
      <c r="K7" s="231"/>
      <c r="L7" s="231"/>
      <c r="M7" s="264"/>
      <c r="N7" s="264"/>
      <c r="O7" s="264"/>
      <c r="P7" s="264"/>
      <c r="Q7" s="264"/>
      <c r="R7" s="229"/>
      <c r="S7" s="230"/>
      <c r="V7" s="266"/>
    </row>
    <row r="8" spans="1:27">
      <c r="A8" s="269">
        <v>1</v>
      </c>
      <c r="B8" s="269">
        <v>2</v>
      </c>
      <c r="C8" s="269">
        <v>3</v>
      </c>
      <c r="D8" s="270">
        <v>4</v>
      </c>
      <c r="E8" s="269">
        <v>5</v>
      </c>
      <c r="F8" s="269">
        <v>6</v>
      </c>
      <c r="G8" s="269">
        <v>7</v>
      </c>
      <c r="H8" s="269">
        <v>8</v>
      </c>
      <c r="I8" s="271">
        <v>9</v>
      </c>
      <c r="J8" s="271">
        <v>10</v>
      </c>
      <c r="K8" s="272">
        <v>11</v>
      </c>
      <c r="L8" s="273">
        <v>12</v>
      </c>
      <c r="M8" s="269" t="s">
        <v>80</v>
      </c>
      <c r="N8" s="269" t="s">
        <v>80</v>
      </c>
      <c r="O8" s="269">
        <v>14</v>
      </c>
      <c r="P8" s="269">
        <v>15</v>
      </c>
      <c r="Q8" s="269">
        <v>15</v>
      </c>
      <c r="R8" s="272">
        <v>16</v>
      </c>
      <c r="S8" s="274">
        <v>17</v>
      </c>
      <c r="V8" s="266"/>
    </row>
    <row r="9" spans="1:27" ht="19.5" customHeight="1">
      <c r="A9" s="232">
        <v>1</v>
      </c>
      <c r="B9" s="275" t="s">
        <v>12</v>
      </c>
      <c r="C9" s="275">
        <v>2</v>
      </c>
      <c r="D9" s="276" t="s">
        <v>18</v>
      </c>
      <c r="E9" s="275" t="s">
        <v>26</v>
      </c>
      <c r="F9" s="275">
        <v>32</v>
      </c>
      <c r="G9" s="234" t="s">
        <v>85</v>
      </c>
      <c r="H9" s="277">
        <v>2.5</v>
      </c>
      <c r="I9" s="278">
        <v>968</v>
      </c>
      <c r="J9" s="263">
        <f>842+72</f>
        <v>914</v>
      </c>
      <c r="K9" s="279">
        <v>2.5</v>
      </c>
      <c r="L9" s="263"/>
      <c r="M9" s="280" t="s">
        <v>115</v>
      </c>
      <c r="N9" s="234" t="s">
        <v>348</v>
      </c>
      <c r="O9" s="281">
        <v>44200</v>
      </c>
      <c r="P9" s="275" t="s">
        <v>64</v>
      </c>
      <c r="Q9" s="263" t="s">
        <v>42</v>
      </c>
      <c r="R9" s="233"/>
      <c r="S9" s="282"/>
      <c r="V9" s="266" t="s">
        <v>33</v>
      </c>
    </row>
    <row r="10" spans="1:27" ht="19.5" customHeight="1">
      <c r="A10" s="232">
        <v>2</v>
      </c>
      <c r="B10" s="275" t="s">
        <v>12</v>
      </c>
      <c r="C10" s="275">
        <v>2</v>
      </c>
      <c r="D10" s="276" t="s">
        <v>18</v>
      </c>
      <c r="E10" s="275" t="s">
        <v>29</v>
      </c>
      <c r="F10" s="275">
        <v>29</v>
      </c>
      <c r="G10" s="234" t="s">
        <v>102</v>
      </c>
      <c r="H10" s="277">
        <v>1.9</v>
      </c>
      <c r="I10" s="278">
        <v>734</v>
      </c>
      <c r="J10" s="263">
        <f>625+38</f>
        <v>663</v>
      </c>
      <c r="K10" s="277">
        <v>1.9</v>
      </c>
      <c r="L10" s="263"/>
      <c r="M10" s="280" t="s">
        <v>115</v>
      </c>
      <c r="N10" s="234" t="s">
        <v>453</v>
      </c>
      <c r="O10" s="281">
        <v>44237</v>
      </c>
      <c r="P10" s="275" t="s">
        <v>64</v>
      </c>
      <c r="Q10" s="263" t="s">
        <v>42</v>
      </c>
      <c r="R10" s="233"/>
      <c r="S10" s="282"/>
      <c r="V10" s="266"/>
    </row>
    <row r="11" spans="1:27" ht="19.5" customHeight="1">
      <c r="A11" s="232">
        <v>3</v>
      </c>
      <c r="B11" s="275" t="s">
        <v>12</v>
      </c>
      <c r="C11" s="275"/>
      <c r="D11" s="276" t="s">
        <v>18</v>
      </c>
      <c r="E11" s="275" t="s">
        <v>128</v>
      </c>
      <c r="F11" s="275">
        <v>43</v>
      </c>
      <c r="G11" s="234" t="s">
        <v>80</v>
      </c>
      <c r="H11" s="277">
        <v>2.6</v>
      </c>
      <c r="I11" s="278">
        <v>1004</v>
      </c>
      <c r="J11" s="263">
        <f>861+56</f>
        <v>917</v>
      </c>
      <c r="K11" s="277">
        <v>2.6</v>
      </c>
      <c r="L11" s="263"/>
      <c r="M11" s="280" t="s">
        <v>115</v>
      </c>
      <c r="N11" s="234" t="s">
        <v>467</v>
      </c>
      <c r="O11" s="281">
        <v>44323</v>
      </c>
      <c r="P11" s="275" t="s">
        <v>64</v>
      </c>
      <c r="Q11" s="263" t="s">
        <v>42</v>
      </c>
      <c r="R11" s="233"/>
      <c r="S11" s="282"/>
      <c r="V11" s="266"/>
    </row>
    <row r="12" spans="1:27" ht="19.5" customHeight="1">
      <c r="A12" s="232">
        <v>4</v>
      </c>
      <c r="B12" s="275" t="s">
        <v>12</v>
      </c>
      <c r="C12" s="275"/>
      <c r="D12" s="276" t="s">
        <v>18</v>
      </c>
      <c r="E12" s="275" t="s">
        <v>26</v>
      </c>
      <c r="F12" s="275">
        <v>21</v>
      </c>
      <c r="G12" s="234" t="s">
        <v>69</v>
      </c>
      <c r="H12" s="277">
        <v>2.6</v>
      </c>
      <c r="I12" s="278">
        <v>892</v>
      </c>
      <c r="J12" s="263">
        <v>810</v>
      </c>
      <c r="K12" s="277">
        <v>2.6</v>
      </c>
      <c r="L12" s="263"/>
      <c r="M12" s="280" t="s">
        <v>115</v>
      </c>
      <c r="N12" s="234" t="s">
        <v>467</v>
      </c>
      <c r="O12" s="281">
        <v>44323</v>
      </c>
      <c r="P12" s="275" t="s">
        <v>64</v>
      </c>
      <c r="Q12" s="263" t="s">
        <v>42</v>
      </c>
      <c r="R12" s="233"/>
      <c r="S12" s="282"/>
      <c r="V12" s="266"/>
    </row>
    <row r="13" spans="1:27" ht="19.5" customHeight="1">
      <c r="A13" s="232">
        <v>5</v>
      </c>
      <c r="B13" s="275" t="s">
        <v>12</v>
      </c>
      <c r="C13" s="275"/>
      <c r="D13" s="276" t="s">
        <v>18</v>
      </c>
      <c r="E13" s="275" t="s">
        <v>29</v>
      </c>
      <c r="F13" s="275">
        <v>19</v>
      </c>
      <c r="G13" s="234" t="s">
        <v>68</v>
      </c>
      <c r="H13" s="277">
        <v>0.6</v>
      </c>
      <c r="I13" s="278">
        <v>370</v>
      </c>
      <c r="J13" s="263">
        <v>339</v>
      </c>
      <c r="K13" s="277">
        <v>0.6</v>
      </c>
      <c r="L13" s="263"/>
      <c r="M13" s="280" t="s">
        <v>115</v>
      </c>
      <c r="N13" s="234" t="s">
        <v>467</v>
      </c>
      <c r="O13" s="281">
        <v>44323</v>
      </c>
      <c r="P13" s="275" t="s">
        <v>64</v>
      </c>
      <c r="Q13" s="263" t="s">
        <v>42</v>
      </c>
      <c r="R13" s="233"/>
      <c r="S13" s="282"/>
      <c r="V13" s="266"/>
    </row>
    <row r="14" spans="1:27" ht="19.5" customHeight="1">
      <c r="A14" s="232">
        <v>6</v>
      </c>
      <c r="B14" s="275" t="s">
        <v>20</v>
      </c>
      <c r="C14" s="275">
        <v>4</v>
      </c>
      <c r="D14" s="276" t="s">
        <v>18</v>
      </c>
      <c r="E14" s="275" t="s">
        <v>26</v>
      </c>
      <c r="F14" s="275">
        <v>12</v>
      </c>
      <c r="G14" s="234" t="s">
        <v>67</v>
      </c>
      <c r="H14" s="277">
        <v>2.6</v>
      </c>
      <c r="I14" s="278">
        <v>675</v>
      </c>
      <c r="J14" s="263">
        <f>565+29</f>
        <v>594</v>
      </c>
      <c r="K14" s="277">
        <v>2.6</v>
      </c>
      <c r="L14" s="263"/>
      <c r="M14" s="280" t="s">
        <v>115</v>
      </c>
      <c r="N14" s="234" t="s">
        <v>349</v>
      </c>
      <c r="O14" s="281">
        <v>44200</v>
      </c>
      <c r="P14" s="275" t="s">
        <v>64</v>
      </c>
      <c r="Q14" s="263" t="s">
        <v>16</v>
      </c>
      <c r="R14" s="233"/>
      <c r="S14" s="282"/>
      <c r="V14" s="266"/>
    </row>
    <row r="15" spans="1:27" ht="19.5" customHeight="1">
      <c r="A15" s="232">
        <v>7</v>
      </c>
      <c r="B15" s="275" t="s">
        <v>20</v>
      </c>
      <c r="C15" s="275">
        <v>5</v>
      </c>
      <c r="D15" s="276" t="s">
        <v>18</v>
      </c>
      <c r="E15" s="275" t="s">
        <v>26</v>
      </c>
      <c r="F15" s="275">
        <v>6</v>
      </c>
      <c r="G15" s="234" t="s">
        <v>67</v>
      </c>
      <c r="H15" s="277">
        <v>3.9</v>
      </c>
      <c r="I15" s="278">
        <v>1434</v>
      </c>
      <c r="J15" s="263">
        <v>1285</v>
      </c>
      <c r="K15" s="277">
        <v>3.9</v>
      </c>
      <c r="L15" s="263"/>
      <c r="M15" s="280" t="s">
        <v>115</v>
      </c>
      <c r="N15" s="234" t="s">
        <v>468</v>
      </c>
      <c r="O15" s="281">
        <v>44323</v>
      </c>
      <c r="P15" s="275" t="s">
        <v>64</v>
      </c>
      <c r="Q15" s="263" t="s">
        <v>16</v>
      </c>
      <c r="R15" s="233"/>
      <c r="S15" s="282"/>
      <c r="V15" s="266"/>
    </row>
    <row r="16" spans="1:27" ht="19.5" customHeight="1">
      <c r="A16" s="232">
        <v>8</v>
      </c>
      <c r="B16" s="275" t="s">
        <v>20</v>
      </c>
      <c r="C16" s="275">
        <v>6</v>
      </c>
      <c r="D16" s="276" t="s">
        <v>18</v>
      </c>
      <c r="E16" s="275" t="s">
        <v>29</v>
      </c>
      <c r="F16" s="275">
        <v>10</v>
      </c>
      <c r="G16" s="234" t="s">
        <v>268</v>
      </c>
      <c r="H16" s="277">
        <v>0.8</v>
      </c>
      <c r="I16" s="278">
        <v>387</v>
      </c>
      <c r="J16" s="263">
        <v>370</v>
      </c>
      <c r="K16" s="277">
        <v>0.8</v>
      </c>
      <c r="L16" s="263"/>
      <c r="M16" s="280" t="s">
        <v>115</v>
      </c>
      <c r="N16" s="234" t="s">
        <v>468</v>
      </c>
      <c r="O16" s="281">
        <v>44323</v>
      </c>
      <c r="P16" s="275" t="s">
        <v>64</v>
      </c>
      <c r="Q16" s="263" t="s">
        <v>16</v>
      </c>
      <c r="R16" s="233"/>
      <c r="S16" s="282"/>
      <c r="V16" s="266"/>
    </row>
    <row r="17" spans="1:22" ht="19.5" customHeight="1">
      <c r="A17" s="232">
        <v>9</v>
      </c>
      <c r="B17" s="275" t="s">
        <v>11</v>
      </c>
      <c r="C17" s="275">
        <v>2</v>
      </c>
      <c r="D17" s="276" t="s">
        <v>18</v>
      </c>
      <c r="E17" s="275" t="s">
        <v>26</v>
      </c>
      <c r="F17" s="275">
        <v>5</v>
      </c>
      <c r="G17" s="234" t="s">
        <v>347</v>
      </c>
      <c r="H17" s="277">
        <v>2.6</v>
      </c>
      <c r="I17" s="278">
        <v>935</v>
      </c>
      <c r="J17" s="263">
        <f>863</f>
        <v>863</v>
      </c>
      <c r="K17" s="277">
        <v>2.6</v>
      </c>
      <c r="L17" s="263"/>
      <c r="M17" s="280" t="s">
        <v>115</v>
      </c>
      <c r="N17" s="234" t="s">
        <v>350</v>
      </c>
      <c r="O17" s="281">
        <v>44200</v>
      </c>
      <c r="P17" s="275" t="s">
        <v>64</v>
      </c>
      <c r="Q17" s="263" t="s">
        <v>43</v>
      </c>
      <c r="R17" s="233"/>
      <c r="S17" s="282"/>
      <c r="V17" s="266"/>
    </row>
    <row r="18" spans="1:22" ht="19.5" customHeight="1">
      <c r="A18" s="232">
        <v>10</v>
      </c>
      <c r="B18" s="275" t="s">
        <v>11</v>
      </c>
      <c r="C18" s="275">
        <v>3</v>
      </c>
      <c r="D18" s="276" t="s">
        <v>18</v>
      </c>
      <c r="E18" s="275" t="s">
        <v>26</v>
      </c>
      <c r="F18" s="275">
        <v>33</v>
      </c>
      <c r="G18" s="234" t="s">
        <v>77</v>
      </c>
      <c r="H18" s="277">
        <v>1</v>
      </c>
      <c r="I18" s="278">
        <v>407</v>
      </c>
      <c r="J18" s="263">
        <v>380</v>
      </c>
      <c r="K18" s="277">
        <v>1</v>
      </c>
      <c r="L18" s="263"/>
      <c r="M18" s="280" t="s">
        <v>115</v>
      </c>
      <c r="N18" s="234" t="s">
        <v>469</v>
      </c>
      <c r="O18" s="281">
        <v>44323</v>
      </c>
      <c r="P18" s="275" t="s">
        <v>64</v>
      </c>
      <c r="Q18" s="263" t="s">
        <v>466</v>
      </c>
      <c r="R18" s="233"/>
      <c r="S18" s="282"/>
      <c r="V18" s="266"/>
    </row>
    <row r="19" spans="1:22" ht="19.5" customHeight="1">
      <c r="A19" s="232">
        <v>11</v>
      </c>
      <c r="B19" s="275" t="s">
        <v>21</v>
      </c>
      <c r="C19" s="275">
        <v>2</v>
      </c>
      <c r="D19" s="276" t="s">
        <v>18</v>
      </c>
      <c r="E19" s="275" t="s">
        <v>28</v>
      </c>
      <c r="F19" s="275">
        <v>91</v>
      </c>
      <c r="G19" s="234" t="s">
        <v>78</v>
      </c>
      <c r="H19" s="277">
        <v>0.4</v>
      </c>
      <c r="I19" s="278">
        <v>69</v>
      </c>
      <c r="J19" s="263">
        <v>63</v>
      </c>
      <c r="K19" s="277">
        <v>0.1</v>
      </c>
      <c r="L19" s="263"/>
      <c r="M19" s="280" t="s">
        <v>115</v>
      </c>
      <c r="N19" s="234" t="s">
        <v>351</v>
      </c>
      <c r="O19" s="281">
        <v>44200</v>
      </c>
      <c r="P19" s="275" t="s">
        <v>64</v>
      </c>
      <c r="Q19" s="263" t="s">
        <v>43</v>
      </c>
      <c r="R19" s="233"/>
      <c r="S19" s="282"/>
      <c r="V19" s="266" t="s">
        <v>34</v>
      </c>
    </row>
    <row r="20" spans="1:22" ht="19.5" customHeight="1">
      <c r="A20" s="232">
        <v>12</v>
      </c>
      <c r="B20" s="275" t="s">
        <v>21</v>
      </c>
      <c r="C20" s="275">
        <v>2</v>
      </c>
      <c r="D20" s="276" t="s">
        <v>18</v>
      </c>
      <c r="E20" s="275" t="s">
        <v>26</v>
      </c>
      <c r="F20" s="275">
        <v>108</v>
      </c>
      <c r="G20" s="234" t="s">
        <v>451</v>
      </c>
      <c r="H20" s="277">
        <v>0.5</v>
      </c>
      <c r="I20" s="278">
        <v>204</v>
      </c>
      <c r="J20" s="263">
        <v>183</v>
      </c>
      <c r="K20" s="277">
        <v>0.5</v>
      </c>
      <c r="L20" s="263"/>
      <c r="M20" s="280" t="s">
        <v>115</v>
      </c>
      <c r="N20" s="234" t="s">
        <v>452</v>
      </c>
      <c r="O20" s="281">
        <v>44237</v>
      </c>
      <c r="P20" s="275" t="s">
        <v>64</v>
      </c>
      <c r="Q20" s="263" t="s">
        <v>43</v>
      </c>
      <c r="R20" s="233"/>
      <c r="S20" s="282"/>
      <c r="V20" s="266"/>
    </row>
    <row r="21" spans="1:22" ht="19.5" customHeight="1">
      <c r="A21" s="232">
        <v>13</v>
      </c>
      <c r="B21" s="275" t="s">
        <v>21</v>
      </c>
      <c r="C21" s="275">
        <v>3</v>
      </c>
      <c r="D21" s="276" t="s">
        <v>18</v>
      </c>
      <c r="E21" s="275" t="s">
        <v>26</v>
      </c>
      <c r="F21" s="275">
        <v>96</v>
      </c>
      <c r="G21" s="234" t="s">
        <v>98</v>
      </c>
      <c r="H21" s="277">
        <v>3</v>
      </c>
      <c r="I21" s="278">
        <v>1103</v>
      </c>
      <c r="J21" s="263">
        <f>952+65</f>
        <v>1017</v>
      </c>
      <c r="K21" s="277">
        <v>3</v>
      </c>
      <c r="L21" s="263"/>
      <c r="M21" s="280" t="s">
        <v>115</v>
      </c>
      <c r="N21" s="234" t="s">
        <v>470</v>
      </c>
      <c r="O21" s="281">
        <v>44323</v>
      </c>
      <c r="P21" s="275" t="s">
        <v>64</v>
      </c>
      <c r="Q21" s="263" t="s">
        <v>43</v>
      </c>
      <c r="R21" s="233"/>
      <c r="S21" s="282"/>
      <c r="V21" s="266"/>
    </row>
    <row r="22" spans="1:22" ht="19.5" customHeight="1">
      <c r="A22" s="232">
        <v>14</v>
      </c>
      <c r="B22" s="275" t="s">
        <v>6</v>
      </c>
      <c r="C22" s="275">
        <v>2</v>
      </c>
      <c r="D22" s="276" t="s">
        <v>18</v>
      </c>
      <c r="E22" s="275" t="s">
        <v>26</v>
      </c>
      <c r="F22" s="275">
        <v>2</v>
      </c>
      <c r="G22" s="234" t="s">
        <v>268</v>
      </c>
      <c r="H22" s="277">
        <v>1.7</v>
      </c>
      <c r="I22" s="278">
        <v>587</v>
      </c>
      <c r="J22" s="263">
        <v>479</v>
      </c>
      <c r="K22" s="277">
        <v>1.7</v>
      </c>
      <c r="L22" s="263"/>
      <c r="M22" s="280" t="s">
        <v>115</v>
      </c>
      <c r="N22" s="234" t="s">
        <v>352</v>
      </c>
      <c r="O22" s="281">
        <v>44200</v>
      </c>
      <c r="P22" s="275" t="s">
        <v>64</v>
      </c>
      <c r="Q22" s="263" t="s">
        <v>43</v>
      </c>
      <c r="R22" s="233"/>
      <c r="S22" s="282"/>
      <c r="V22" s="266"/>
    </row>
    <row r="23" spans="1:22" ht="19.5" customHeight="1">
      <c r="A23" s="232">
        <v>15</v>
      </c>
      <c r="B23" s="275" t="s">
        <v>6</v>
      </c>
      <c r="C23" s="275">
        <v>3</v>
      </c>
      <c r="D23" s="276" t="s">
        <v>18</v>
      </c>
      <c r="E23" s="275" t="s">
        <v>26</v>
      </c>
      <c r="F23" s="275">
        <v>20</v>
      </c>
      <c r="G23" s="234" t="s">
        <v>85</v>
      </c>
      <c r="H23" s="277">
        <v>2.6</v>
      </c>
      <c r="I23" s="278">
        <v>887</v>
      </c>
      <c r="J23" s="263">
        <f>695+39</f>
        <v>734</v>
      </c>
      <c r="K23" s="277">
        <v>2.6</v>
      </c>
      <c r="L23" s="263"/>
      <c r="M23" s="280" t="s">
        <v>115</v>
      </c>
      <c r="N23" s="234" t="s">
        <v>471</v>
      </c>
      <c r="O23" s="281">
        <v>44323</v>
      </c>
      <c r="P23" s="275" t="s">
        <v>64</v>
      </c>
      <c r="Q23" s="263" t="s">
        <v>33</v>
      </c>
      <c r="R23" s="233"/>
      <c r="S23" s="282"/>
      <c r="V23" s="266"/>
    </row>
    <row r="24" spans="1:22" ht="19.5" customHeight="1">
      <c r="A24" s="232">
        <v>16</v>
      </c>
      <c r="B24" s="275" t="s">
        <v>25</v>
      </c>
      <c r="C24" s="275">
        <v>2</v>
      </c>
      <c r="D24" s="276" t="s">
        <v>18</v>
      </c>
      <c r="E24" s="275" t="s">
        <v>26</v>
      </c>
      <c r="F24" s="275">
        <v>70</v>
      </c>
      <c r="G24" s="234" t="s">
        <v>255</v>
      </c>
      <c r="H24" s="277">
        <v>1.3</v>
      </c>
      <c r="I24" s="278">
        <v>594</v>
      </c>
      <c r="J24" s="263">
        <f>513+44</f>
        <v>557</v>
      </c>
      <c r="K24" s="277">
        <v>1.3</v>
      </c>
      <c r="L24" s="263"/>
      <c r="M24" s="280" t="s">
        <v>115</v>
      </c>
      <c r="N24" s="234" t="s">
        <v>353</v>
      </c>
      <c r="O24" s="281">
        <v>44200</v>
      </c>
      <c r="P24" s="275" t="s">
        <v>64</v>
      </c>
      <c r="Q24" s="263" t="s">
        <v>33</v>
      </c>
      <c r="R24" s="233"/>
      <c r="S24" s="282"/>
      <c r="V24" s="266" t="s">
        <v>34</v>
      </c>
    </row>
    <row r="25" spans="1:22" ht="19.5" customHeight="1">
      <c r="A25" s="232">
        <v>17</v>
      </c>
      <c r="B25" s="275" t="s">
        <v>25</v>
      </c>
      <c r="C25" s="275">
        <v>2</v>
      </c>
      <c r="D25" s="276" t="s">
        <v>18</v>
      </c>
      <c r="E25" s="275" t="s">
        <v>26</v>
      </c>
      <c r="F25" s="275">
        <v>53</v>
      </c>
      <c r="G25" s="234" t="s">
        <v>98</v>
      </c>
      <c r="H25" s="277">
        <v>1.6</v>
      </c>
      <c r="I25" s="278">
        <v>614</v>
      </c>
      <c r="J25" s="263">
        <f>531+38</f>
        <v>569</v>
      </c>
      <c r="K25" s="277">
        <v>1.6</v>
      </c>
      <c r="L25" s="263"/>
      <c r="M25" s="280" t="s">
        <v>115</v>
      </c>
      <c r="N25" s="234" t="s">
        <v>446</v>
      </c>
      <c r="O25" s="281">
        <v>44237</v>
      </c>
      <c r="P25" s="275" t="s">
        <v>64</v>
      </c>
      <c r="Q25" s="263" t="s">
        <v>33</v>
      </c>
      <c r="R25" s="233"/>
      <c r="S25" s="282"/>
      <c r="V25" s="266"/>
    </row>
    <row r="26" spans="1:22" ht="19.5" customHeight="1">
      <c r="A26" s="232">
        <v>18</v>
      </c>
      <c r="B26" s="275" t="s">
        <v>25</v>
      </c>
      <c r="C26" s="275">
        <v>3</v>
      </c>
      <c r="D26" s="276" t="s">
        <v>18</v>
      </c>
      <c r="E26" s="275" t="s">
        <v>28</v>
      </c>
      <c r="F26" s="275">
        <v>45</v>
      </c>
      <c r="G26" s="234" t="s">
        <v>424</v>
      </c>
      <c r="H26" s="277">
        <v>0.9</v>
      </c>
      <c r="I26" s="278">
        <v>320</v>
      </c>
      <c r="J26" s="263">
        <v>292</v>
      </c>
      <c r="K26" s="277">
        <v>0.9</v>
      </c>
      <c r="L26" s="263"/>
      <c r="M26" s="280" t="s">
        <v>115</v>
      </c>
      <c r="N26" s="234" t="s">
        <v>472</v>
      </c>
      <c r="O26" s="281">
        <v>44323</v>
      </c>
      <c r="P26" s="275" t="s">
        <v>64</v>
      </c>
      <c r="Q26" s="263" t="s">
        <v>33</v>
      </c>
      <c r="R26" s="233"/>
      <c r="S26" s="282"/>
      <c r="V26" s="266"/>
    </row>
    <row r="27" spans="1:22" ht="19.5" customHeight="1">
      <c r="A27" s="232">
        <v>19</v>
      </c>
      <c r="B27" s="275" t="s">
        <v>25</v>
      </c>
      <c r="C27" s="275">
        <v>4</v>
      </c>
      <c r="D27" s="276" t="s">
        <v>18</v>
      </c>
      <c r="E27" s="275" t="s">
        <v>26</v>
      </c>
      <c r="F27" s="275">
        <v>54</v>
      </c>
      <c r="G27" s="234" t="s">
        <v>88</v>
      </c>
      <c r="H27" s="277">
        <v>2.4</v>
      </c>
      <c r="I27" s="278">
        <v>941</v>
      </c>
      <c r="J27" s="263">
        <f>813+66</f>
        <v>879</v>
      </c>
      <c r="K27" s="277">
        <v>2.4</v>
      </c>
      <c r="L27" s="263"/>
      <c r="M27" s="280" t="s">
        <v>115</v>
      </c>
      <c r="N27" s="234" t="s">
        <v>472</v>
      </c>
      <c r="O27" s="281">
        <v>44323</v>
      </c>
      <c r="P27" s="275" t="s">
        <v>64</v>
      </c>
      <c r="Q27" s="263" t="s">
        <v>33</v>
      </c>
      <c r="R27" s="233"/>
      <c r="S27" s="282"/>
      <c r="V27" s="266"/>
    </row>
    <row r="28" spans="1:22" ht="19.5" customHeight="1">
      <c r="A28" s="232">
        <v>20</v>
      </c>
      <c r="B28" s="275" t="s">
        <v>27</v>
      </c>
      <c r="C28" s="275">
        <v>4</v>
      </c>
      <c r="D28" s="276" t="s">
        <v>18</v>
      </c>
      <c r="E28" s="275" t="s">
        <v>26</v>
      </c>
      <c r="F28" s="275">
        <v>50</v>
      </c>
      <c r="G28" s="234" t="s">
        <v>195</v>
      </c>
      <c r="H28" s="277">
        <v>4.8</v>
      </c>
      <c r="I28" s="278">
        <v>1697</v>
      </c>
      <c r="J28" s="263">
        <f>1436+105</f>
        <v>1541</v>
      </c>
      <c r="K28" s="277">
        <v>4.8</v>
      </c>
      <c r="L28" s="263"/>
      <c r="M28" s="280" t="s">
        <v>115</v>
      </c>
      <c r="N28" s="234" t="s">
        <v>354</v>
      </c>
      <c r="O28" s="281">
        <v>44200</v>
      </c>
      <c r="P28" s="275" t="s">
        <v>64</v>
      </c>
      <c r="Q28" s="263" t="s">
        <v>61</v>
      </c>
      <c r="R28" s="233"/>
      <c r="S28" s="282"/>
      <c r="V28" s="266" t="s">
        <v>34</v>
      </c>
    </row>
    <row r="29" spans="1:22" ht="19.5" customHeight="1">
      <c r="A29" s="232">
        <v>21</v>
      </c>
      <c r="B29" s="275" t="s">
        <v>27</v>
      </c>
      <c r="C29" s="275">
        <v>5</v>
      </c>
      <c r="D29" s="276" t="s">
        <v>18</v>
      </c>
      <c r="E29" s="275" t="s">
        <v>26</v>
      </c>
      <c r="F29" s="275">
        <v>21</v>
      </c>
      <c r="G29" s="234" t="s">
        <v>67</v>
      </c>
      <c r="H29" s="277">
        <v>3.1</v>
      </c>
      <c r="I29" s="278">
        <v>1209</v>
      </c>
      <c r="J29" s="263">
        <v>1111</v>
      </c>
      <c r="K29" s="277">
        <v>3.1</v>
      </c>
      <c r="L29" s="263"/>
      <c r="M29" s="280" t="s">
        <v>115</v>
      </c>
      <c r="N29" s="234" t="s">
        <v>475</v>
      </c>
      <c r="O29" s="281">
        <v>44323</v>
      </c>
      <c r="P29" s="275" t="s">
        <v>64</v>
      </c>
      <c r="Q29" s="263" t="s">
        <v>16</v>
      </c>
      <c r="R29" s="233"/>
      <c r="S29" s="282"/>
      <c r="V29" s="266"/>
    </row>
    <row r="30" spans="1:22" ht="19.5" customHeight="1">
      <c r="A30" s="232">
        <v>22</v>
      </c>
      <c r="B30" s="275" t="s">
        <v>27</v>
      </c>
      <c r="C30" s="275">
        <v>6</v>
      </c>
      <c r="D30" s="276" t="s">
        <v>18</v>
      </c>
      <c r="E30" s="275" t="s">
        <v>26</v>
      </c>
      <c r="F30" s="275">
        <v>51</v>
      </c>
      <c r="G30" s="234" t="s">
        <v>474</v>
      </c>
      <c r="H30" s="277">
        <v>3.7</v>
      </c>
      <c r="I30" s="278">
        <v>1198</v>
      </c>
      <c r="J30" s="263">
        <f>988+76</f>
        <v>1064</v>
      </c>
      <c r="K30" s="277">
        <v>3.7</v>
      </c>
      <c r="L30" s="263"/>
      <c r="M30" s="280" t="s">
        <v>115</v>
      </c>
      <c r="N30" s="234" t="s">
        <v>475</v>
      </c>
      <c r="O30" s="281">
        <v>44323</v>
      </c>
      <c r="P30" s="275" t="s">
        <v>64</v>
      </c>
      <c r="Q30" s="263" t="s">
        <v>61</v>
      </c>
      <c r="R30" s="233"/>
      <c r="S30" s="282"/>
      <c r="V30" s="266"/>
    </row>
    <row r="31" spans="1:22" ht="19.5" customHeight="1">
      <c r="A31" s="232">
        <v>23</v>
      </c>
      <c r="B31" s="275" t="s">
        <v>27</v>
      </c>
      <c r="C31" s="275">
        <v>7</v>
      </c>
      <c r="D31" s="276" t="s">
        <v>18</v>
      </c>
      <c r="E31" s="275" t="s">
        <v>26</v>
      </c>
      <c r="F31" s="275">
        <v>53</v>
      </c>
      <c r="G31" s="234" t="s">
        <v>473</v>
      </c>
      <c r="H31" s="277">
        <v>3.3</v>
      </c>
      <c r="I31" s="278">
        <v>1237</v>
      </c>
      <c r="J31" s="263">
        <f>1035+78</f>
        <v>1113</v>
      </c>
      <c r="K31" s="277">
        <v>3.3</v>
      </c>
      <c r="L31" s="263"/>
      <c r="M31" s="280" t="s">
        <v>115</v>
      </c>
      <c r="N31" s="234" t="s">
        <v>475</v>
      </c>
      <c r="O31" s="281">
        <v>44323</v>
      </c>
      <c r="P31" s="275" t="s">
        <v>64</v>
      </c>
      <c r="Q31" s="263" t="s">
        <v>61</v>
      </c>
      <c r="R31" s="233"/>
      <c r="S31" s="282"/>
      <c r="V31" s="266"/>
    </row>
    <row r="32" spans="1:22" ht="19.5" customHeight="1">
      <c r="A32" s="232">
        <v>24</v>
      </c>
      <c r="B32" s="275" t="s">
        <v>8</v>
      </c>
      <c r="C32" s="275">
        <v>4</v>
      </c>
      <c r="D32" s="276" t="s">
        <v>18</v>
      </c>
      <c r="E32" s="275" t="s">
        <v>26</v>
      </c>
      <c r="F32" s="275">
        <v>94</v>
      </c>
      <c r="G32" s="234" t="s">
        <v>87</v>
      </c>
      <c r="H32" s="277">
        <v>1</v>
      </c>
      <c r="I32" s="278">
        <v>293</v>
      </c>
      <c r="J32" s="263">
        <v>250</v>
      </c>
      <c r="K32" s="277">
        <v>1</v>
      </c>
      <c r="L32" s="263"/>
      <c r="M32" s="280" t="s">
        <v>115</v>
      </c>
      <c r="N32" s="234" t="s">
        <v>355</v>
      </c>
      <c r="O32" s="281">
        <v>44200</v>
      </c>
      <c r="P32" s="275" t="s">
        <v>63</v>
      </c>
      <c r="Q32" s="263" t="s">
        <v>454</v>
      </c>
      <c r="R32" s="233"/>
      <c r="S32" s="282"/>
      <c r="V32" s="266" t="s">
        <v>34</v>
      </c>
    </row>
    <row r="33" spans="1:22" ht="19.5" customHeight="1">
      <c r="A33" s="232">
        <v>25</v>
      </c>
      <c r="B33" s="275" t="s">
        <v>8</v>
      </c>
      <c r="C33" s="275">
        <v>5</v>
      </c>
      <c r="D33" s="276" t="s">
        <v>18</v>
      </c>
      <c r="E33" s="275" t="s">
        <v>26</v>
      </c>
      <c r="F33" s="275">
        <v>65</v>
      </c>
      <c r="G33" s="234" t="s">
        <v>73</v>
      </c>
      <c r="H33" s="277">
        <v>1.4</v>
      </c>
      <c r="I33" s="278">
        <v>642</v>
      </c>
      <c r="J33" s="263">
        <f>539+39</f>
        <v>578</v>
      </c>
      <c r="K33" s="277">
        <v>1.4</v>
      </c>
      <c r="L33" s="263"/>
      <c r="M33" s="280" t="s">
        <v>115</v>
      </c>
      <c r="N33" s="234" t="s">
        <v>476</v>
      </c>
      <c r="O33" s="281">
        <v>44323</v>
      </c>
      <c r="P33" s="275" t="s">
        <v>63</v>
      </c>
      <c r="Q33" s="263" t="s">
        <v>454</v>
      </c>
      <c r="R33" s="233"/>
      <c r="S33" s="282"/>
      <c r="V33" s="266"/>
    </row>
    <row r="34" spans="1:22" ht="19.5" customHeight="1">
      <c r="A34" s="232">
        <v>26</v>
      </c>
      <c r="B34" s="275" t="s">
        <v>8</v>
      </c>
      <c r="C34" s="275">
        <v>6</v>
      </c>
      <c r="D34" s="276" t="s">
        <v>18</v>
      </c>
      <c r="E34" s="275" t="s">
        <v>26</v>
      </c>
      <c r="F34" s="275">
        <v>89</v>
      </c>
      <c r="G34" s="234" t="s">
        <v>103</v>
      </c>
      <c r="H34" s="277">
        <v>2.7</v>
      </c>
      <c r="I34" s="278">
        <v>906</v>
      </c>
      <c r="J34" s="263">
        <f>778+61</f>
        <v>839</v>
      </c>
      <c r="K34" s="277">
        <v>2.7</v>
      </c>
      <c r="L34" s="263"/>
      <c r="M34" s="280" t="s">
        <v>115</v>
      </c>
      <c r="N34" s="234" t="s">
        <v>476</v>
      </c>
      <c r="O34" s="281">
        <v>44323</v>
      </c>
      <c r="P34" s="275" t="s">
        <v>63</v>
      </c>
      <c r="Q34" s="263" t="s">
        <v>454</v>
      </c>
      <c r="R34" s="233"/>
      <c r="S34" s="282"/>
      <c r="V34" s="266"/>
    </row>
    <row r="35" spans="1:22" ht="19.5" customHeight="1">
      <c r="A35" s="232">
        <v>27</v>
      </c>
      <c r="B35" s="275" t="s">
        <v>30</v>
      </c>
      <c r="C35" s="275">
        <v>4</v>
      </c>
      <c r="D35" s="276" t="s">
        <v>18</v>
      </c>
      <c r="E35" s="275" t="s">
        <v>26</v>
      </c>
      <c r="F35" s="275">
        <v>56</v>
      </c>
      <c r="G35" s="234" t="s">
        <v>89</v>
      </c>
      <c r="H35" s="277">
        <v>0.5</v>
      </c>
      <c r="I35" s="278">
        <v>142</v>
      </c>
      <c r="J35" s="263">
        <v>121</v>
      </c>
      <c r="K35" s="277">
        <v>0.5</v>
      </c>
      <c r="L35" s="263"/>
      <c r="M35" s="280" t="s">
        <v>115</v>
      </c>
      <c r="N35" s="234" t="s">
        <v>356</v>
      </c>
      <c r="O35" s="281">
        <v>44200</v>
      </c>
      <c r="P35" s="275" t="s">
        <v>63</v>
      </c>
      <c r="Q35" s="263" t="s">
        <v>454</v>
      </c>
      <c r="R35" s="233"/>
      <c r="S35" s="282"/>
      <c r="V35" s="266"/>
    </row>
    <row r="36" spans="1:22" ht="19.5" customHeight="1">
      <c r="A36" s="232">
        <v>28</v>
      </c>
      <c r="B36" s="275" t="s">
        <v>30</v>
      </c>
      <c r="C36" s="275">
        <v>4</v>
      </c>
      <c r="D36" s="276" t="s">
        <v>18</v>
      </c>
      <c r="E36" s="275" t="s">
        <v>26</v>
      </c>
      <c r="F36" s="275">
        <v>101</v>
      </c>
      <c r="G36" s="234" t="s">
        <v>82</v>
      </c>
      <c r="H36" s="277">
        <v>3.5</v>
      </c>
      <c r="I36" s="278">
        <v>1309</v>
      </c>
      <c r="J36" s="263">
        <f>1115+107</f>
        <v>1222</v>
      </c>
      <c r="K36" s="277">
        <v>3.5</v>
      </c>
      <c r="L36" s="263"/>
      <c r="M36" s="280" t="s">
        <v>115</v>
      </c>
      <c r="N36" s="234" t="s">
        <v>356</v>
      </c>
      <c r="O36" s="281">
        <v>44200</v>
      </c>
      <c r="P36" s="275" t="s">
        <v>462</v>
      </c>
      <c r="Q36" s="263" t="s">
        <v>47</v>
      </c>
      <c r="R36" s="233"/>
      <c r="S36" s="282"/>
      <c r="V36" s="266"/>
    </row>
    <row r="37" spans="1:22" ht="19.5" customHeight="1">
      <c r="A37" s="232">
        <v>29</v>
      </c>
      <c r="B37" s="275" t="s">
        <v>30</v>
      </c>
      <c r="C37" s="275">
        <v>4</v>
      </c>
      <c r="D37" s="276" t="s">
        <v>18</v>
      </c>
      <c r="E37" s="275" t="s">
        <v>26</v>
      </c>
      <c r="F37" s="275">
        <v>82</v>
      </c>
      <c r="G37" s="234" t="s">
        <v>195</v>
      </c>
      <c r="H37" s="277">
        <v>2.9</v>
      </c>
      <c r="I37" s="278">
        <v>919</v>
      </c>
      <c r="J37" s="263">
        <f>622+45</f>
        <v>667</v>
      </c>
      <c r="K37" s="277">
        <v>2.9</v>
      </c>
      <c r="L37" s="263"/>
      <c r="M37" s="280" t="s">
        <v>115</v>
      </c>
      <c r="N37" s="234" t="s">
        <v>450</v>
      </c>
      <c r="O37" s="281">
        <v>44237</v>
      </c>
      <c r="P37" s="275" t="s">
        <v>462</v>
      </c>
      <c r="Q37" s="263" t="s">
        <v>47</v>
      </c>
      <c r="R37" s="233"/>
      <c r="S37" s="282"/>
      <c r="V37" s="266"/>
    </row>
    <row r="38" spans="1:22" ht="19.5" customHeight="1">
      <c r="A38" s="232">
        <v>30</v>
      </c>
      <c r="B38" s="275" t="s">
        <v>30</v>
      </c>
      <c r="C38" s="275">
        <v>4</v>
      </c>
      <c r="D38" s="276" t="s">
        <v>18</v>
      </c>
      <c r="E38" s="275" t="s">
        <v>26</v>
      </c>
      <c r="F38" s="275">
        <v>69</v>
      </c>
      <c r="G38" s="234" t="s">
        <v>72</v>
      </c>
      <c r="H38" s="277">
        <v>4.5999999999999996</v>
      </c>
      <c r="I38" s="278">
        <v>1167</v>
      </c>
      <c r="J38" s="263">
        <v>1089</v>
      </c>
      <c r="K38" s="277">
        <v>4.5999999999999996</v>
      </c>
      <c r="L38" s="263"/>
      <c r="M38" s="280" t="s">
        <v>115</v>
      </c>
      <c r="N38" s="234" t="s">
        <v>457</v>
      </c>
      <c r="O38" s="281">
        <v>44252</v>
      </c>
      <c r="P38" s="275" t="s">
        <v>462</v>
      </c>
      <c r="Q38" s="263" t="s">
        <v>47</v>
      </c>
      <c r="R38" s="233"/>
      <c r="S38" s="282"/>
      <c r="V38" s="266"/>
    </row>
    <row r="39" spans="1:22" ht="19.5" customHeight="1">
      <c r="A39" s="232">
        <v>31</v>
      </c>
      <c r="B39" s="275" t="s">
        <v>30</v>
      </c>
      <c r="C39" s="275">
        <v>4</v>
      </c>
      <c r="D39" s="276" t="s">
        <v>18</v>
      </c>
      <c r="E39" s="275" t="s">
        <v>29</v>
      </c>
      <c r="F39" s="275">
        <v>93</v>
      </c>
      <c r="G39" s="234" t="s">
        <v>456</v>
      </c>
      <c r="H39" s="277">
        <v>0.4</v>
      </c>
      <c r="I39" s="278">
        <v>172</v>
      </c>
      <c r="J39" s="263">
        <v>159</v>
      </c>
      <c r="K39" s="277">
        <v>0.4</v>
      </c>
      <c r="L39" s="263"/>
      <c r="M39" s="280" t="s">
        <v>115</v>
      </c>
      <c r="N39" s="234" t="s">
        <v>457</v>
      </c>
      <c r="O39" s="281">
        <v>44252</v>
      </c>
      <c r="P39" s="275" t="s">
        <v>462</v>
      </c>
      <c r="Q39" s="263" t="s">
        <v>47</v>
      </c>
      <c r="R39" s="233"/>
      <c r="S39" s="282"/>
      <c r="V39" s="266"/>
    </row>
    <row r="40" spans="1:22" ht="19.5" customHeight="1">
      <c r="A40" s="232">
        <v>32</v>
      </c>
      <c r="B40" s="275" t="s">
        <v>30</v>
      </c>
      <c r="C40" s="275">
        <v>4</v>
      </c>
      <c r="D40" s="276" t="s">
        <v>18</v>
      </c>
      <c r="E40" s="275" t="s">
        <v>28</v>
      </c>
      <c r="F40" s="275">
        <v>103</v>
      </c>
      <c r="G40" s="234" t="s">
        <v>80</v>
      </c>
      <c r="H40" s="277">
        <v>1.7</v>
      </c>
      <c r="I40" s="278">
        <v>675</v>
      </c>
      <c r="J40" s="263">
        <v>616</v>
      </c>
      <c r="K40" s="277">
        <v>1.7</v>
      </c>
      <c r="L40" s="263"/>
      <c r="M40" s="280" t="s">
        <v>115</v>
      </c>
      <c r="N40" s="234" t="s">
        <v>457</v>
      </c>
      <c r="O40" s="281">
        <v>44252</v>
      </c>
      <c r="P40" s="275" t="s">
        <v>462</v>
      </c>
      <c r="Q40" s="263" t="s">
        <v>47</v>
      </c>
      <c r="R40" s="233"/>
      <c r="S40" s="282"/>
      <c r="V40" s="266"/>
    </row>
    <row r="41" spans="1:22" ht="19.5" customHeight="1">
      <c r="A41" s="232">
        <v>33</v>
      </c>
      <c r="B41" s="275" t="s">
        <v>30</v>
      </c>
      <c r="C41" s="275">
        <v>4</v>
      </c>
      <c r="D41" s="276" t="s">
        <v>18</v>
      </c>
      <c r="E41" s="275" t="s">
        <v>26</v>
      </c>
      <c r="F41" s="275">
        <v>110</v>
      </c>
      <c r="G41" s="234" t="s">
        <v>67</v>
      </c>
      <c r="H41" s="277">
        <v>1.4</v>
      </c>
      <c r="I41" s="278">
        <v>473</v>
      </c>
      <c r="J41" s="263">
        <f>366+29</f>
        <v>395</v>
      </c>
      <c r="K41" s="277">
        <v>1.4</v>
      </c>
      <c r="L41" s="263"/>
      <c r="M41" s="280" t="s">
        <v>115</v>
      </c>
      <c r="N41" s="234" t="s">
        <v>457</v>
      </c>
      <c r="O41" s="281">
        <v>44252</v>
      </c>
      <c r="P41" s="275" t="s">
        <v>462</v>
      </c>
      <c r="Q41" s="263" t="s">
        <v>47</v>
      </c>
      <c r="R41" s="233"/>
      <c r="S41" s="282"/>
      <c r="V41" s="266"/>
    </row>
    <row r="42" spans="1:22" ht="19.5" customHeight="1">
      <c r="A42" s="232">
        <v>34</v>
      </c>
      <c r="B42" s="275" t="s">
        <v>30</v>
      </c>
      <c r="C42" s="275">
        <v>4</v>
      </c>
      <c r="D42" s="276" t="s">
        <v>18</v>
      </c>
      <c r="E42" s="275" t="s">
        <v>26</v>
      </c>
      <c r="F42" s="275">
        <v>81</v>
      </c>
      <c r="G42" s="234" t="s">
        <v>67</v>
      </c>
      <c r="H42" s="277">
        <v>4.5999999999999996</v>
      </c>
      <c r="I42" s="278">
        <v>1364</v>
      </c>
      <c r="J42" s="263">
        <f>1173+121</f>
        <v>1294</v>
      </c>
      <c r="K42" s="277">
        <v>4.5999999999999996</v>
      </c>
      <c r="L42" s="263"/>
      <c r="M42" s="280" t="s">
        <v>115</v>
      </c>
      <c r="N42" s="234" t="s">
        <v>457</v>
      </c>
      <c r="O42" s="281">
        <v>44252</v>
      </c>
      <c r="P42" s="275" t="s">
        <v>462</v>
      </c>
      <c r="Q42" s="263" t="s">
        <v>47</v>
      </c>
      <c r="R42" s="233"/>
      <c r="S42" s="282"/>
      <c r="V42" s="266"/>
    </row>
    <row r="43" spans="1:22" ht="19.5" customHeight="1">
      <c r="A43" s="232">
        <v>35</v>
      </c>
      <c r="B43" s="275" t="s">
        <v>30</v>
      </c>
      <c r="C43" s="275">
        <v>4</v>
      </c>
      <c r="D43" s="276" t="s">
        <v>18</v>
      </c>
      <c r="E43" s="275" t="s">
        <v>26</v>
      </c>
      <c r="F43" s="275">
        <v>99</v>
      </c>
      <c r="G43" s="234" t="s">
        <v>69</v>
      </c>
      <c r="H43" s="277">
        <v>1.8</v>
      </c>
      <c r="I43" s="278">
        <v>687</v>
      </c>
      <c r="J43" s="263">
        <f>588+57</f>
        <v>645</v>
      </c>
      <c r="K43" s="277">
        <v>1.8</v>
      </c>
      <c r="L43" s="263"/>
      <c r="M43" s="280" t="s">
        <v>115</v>
      </c>
      <c r="N43" s="234" t="s">
        <v>457</v>
      </c>
      <c r="O43" s="281">
        <v>44252</v>
      </c>
      <c r="P43" s="275" t="s">
        <v>462</v>
      </c>
      <c r="Q43" s="263" t="s">
        <v>47</v>
      </c>
      <c r="R43" s="233"/>
      <c r="S43" s="282"/>
      <c r="V43" s="266"/>
    </row>
    <row r="44" spans="1:22" ht="19.5" customHeight="1">
      <c r="A44" s="232">
        <v>36</v>
      </c>
      <c r="B44" s="275" t="s">
        <v>30</v>
      </c>
      <c r="C44" s="275">
        <v>4</v>
      </c>
      <c r="D44" s="276" t="s">
        <v>18</v>
      </c>
      <c r="E44" s="275" t="s">
        <v>26</v>
      </c>
      <c r="F44" s="275">
        <v>58</v>
      </c>
      <c r="G44" s="234" t="s">
        <v>69</v>
      </c>
      <c r="H44" s="277">
        <v>1.3</v>
      </c>
      <c r="I44" s="278">
        <v>625</v>
      </c>
      <c r="J44" s="263">
        <f>538+46</f>
        <v>584</v>
      </c>
      <c r="K44" s="277">
        <v>1.3</v>
      </c>
      <c r="L44" s="263"/>
      <c r="M44" s="280" t="s">
        <v>115</v>
      </c>
      <c r="N44" s="234" t="s">
        <v>457</v>
      </c>
      <c r="O44" s="281">
        <v>44252</v>
      </c>
      <c r="P44" s="275" t="s">
        <v>462</v>
      </c>
      <c r="Q44" s="263" t="s">
        <v>47</v>
      </c>
      <c r="R44" s="233"/>
      <c r="S44" s="282"/>
      <c r="V44" s="266"/>
    </row>
    <row r="45" spans="1:22" ht="19.5" customHeight="1">
      <c r="A45" s="232">
        <v>37</v>
      </c>
      <c r="B45" s="275" t="s">
        <v>9</v>
      </c>
      <c r="C45" s="275">
        <v>4</v>
      </c>
      <c r="D45" s="276" t="s">
        <v>18</v>
      </c>
      <c r="E45" s="275" t="s">
        <v>28</v>
      </c>
      <c r="F45" s="275">
        <v>48</v>
      </c>
      <c r="G45" s="234" t="s">
        <v>196</v>
      </c>
      <c r="H45" s="277">
        <v>2.5</v>
      </c>
      <c r="I45" s="278">
        <v>884</v>
      </c>
      <c r="J45" s="263">
        <f>787+16</f>
        <v>803</v>
      </c>
      <c r="K45" s="277">
        <v>2.5</v>
      </c>
      <c r="L45" s="263"/>
      <c r="M45" s="280" t="s">
        <v>115</v>
      </c>
      <c r="N45" s="234" t="s">
        <v>357</v>
      </c>
      <c r="O45" s="281">
        <v>44200</v>
      </c>
      <c r="P45" s="275" t="s">
        <v>462</v>
      </c>
      <c r="Q45" s="263" t="s">
        <v>105</v>
      </c>
      <c r="R45" s="233"/>
      <c r="S45" s="282"/>
      <c r="V45" s="266"/>
    </row>
    <row r="46" spans="1:22" ht="19.5" customHeight="1">
      <c r="A46" s="232">
        <v>38</v>
      </c>
      <c r="B46" s="275" t="s">
        <v>9</v>
      </c>
      <c r="C46" s="275">
        <v>4</v>
      </c>
      <c r="D46" s="276" t="s">
        <v>18</v>
      </c>
      <c r="E46" s="275" t="s">
        <v>28</v>
      </c>
      <c r="F46" s="275">
        <v>43</v>
      </c>
      <c r="G46" s="234" t="s">
        <v>103</v>
      </c>
      <c r="H46" s="277">
        <v>2.6</v>
      </c>
      <c r="I46" s="278">
        <v>1011</v>
      </c>
      <c r="J46" s="263">
        <f>835+16</f>
        <v>851</v>
      </c>
      <c r="K46" s="277">
        <v>2.6</v>
      </c>
      <c r="L46" s="263"/>
      <c r="M46" s="280" t="s">
        <v>115</v>
      </c>
      <c r="N46" s="234" t="s">
        <v>445</v>
      </c>
      <c r="O46" s="281">
        <v>44237</v>
      </c>
      <c r="P46" s="275" t="s">
        <v>462</v>
      </c>
      <c r="Q46" s="263" t="s">
        <v>105</v>
      </c>
      <c r="R46" s="233"/>
      <c r="S46" s="282"/>
      <c r="V46" s="266"/>
    </row>
    <row r="47" spans="1:22" ht="19.5" customHeight="1">
      <c r="A47" s="232">
        <v>39</v>
      </c>
      <c r="B47" s="275" t="s">
        <v>9</v>
      </c>
      <c r="C47" s="275">
        <v>4</v>
      </c>
      <c r="D47" s="276" t="s">
        <v>18</v>
      </c>
      <c r="E47" s="275" t="s">
        <v>26</v>
      </c>
      <c r="F47" s="275">
        <v>45</v>
      </c>
      <c r="G47" s="234" t="s">
        <v>100</v>
      </c>
      <c r="H47" s="277">
        <v>4.5</v>
      </c>
      <c r="I47" s="278">
        <v>1389</v>
      </c>
      <c r="J47" s="263">
        <f>1165+91</f>
        <v>1256</v>
      </c>
      <c r="K47" s="277">
        <v>4.5</v>
      </c>
      <c r="L47" s="263"/>
      <c r="M47" s="280" t="s">
        <v>115</v>
      </c>
      <c r="N47" s="234" t="s">
        <v>445</v>
      </c>
      <c r="O47" s="281">
        <v>44237</v>
      </c>
      <c r="P47" s="275" t="s">
        <v>462</v>
      </c>
      <c r="Q47" s="263" t="s">
        <v>105</v>
      </c>
      <c r="R47" s="233"/>
      <c r="S47" s="282"/>
      <c r="V47" s="266"/>
    </row>
    <row r="48" spans="1:22" ht="19.5" customHeight="1">
      <c r="A48" s="232">
        <v>40</v>
      </c>
      <c r="B48" s="275" t="s">
        <v>9</v>
      </c>
      <c r="C48" s="275">
        <v>4</v>
      </c>
      <c r="D48" s="276" t="s">
        <v>18</v>
      </c>
      <c r="E48" s="275" t="s">
        <v>28</v>
      </c>
      <c r="F48" s="275">
        <v>30</v>
      </c>
      <c r="G48" s="234" t="s">
        <v>88</v>
      </c>
      <c r="H48" s="277">
        <v>1.6</v>
      </c>
      <c r="I48" s="278">
        <v>685</v>
      </c>
      <c r="J48" s="263">
        <v>621</v>
      </c>
      <c r="K48" s="277">
        <v>1.6</v>
      </c>
      <c r="L48" s="263"/>
      <c r="M48" s="280" t="s">
        <v>115</v>
      </c>
      <c r="N48" s="234" t="s">
        <v>459</v>
      </c>
      <c r="O48" s="281">
        <v>44252</v>
      </c>
      <c r="P48" s="275" t="s">
        <v>462</v>
      </c>
      <c r="Q48" s="263" t="s">
        <v>105</v>
      </c>
      <c r="R48" s="233"/>
      <c r="S48" s="282"/>
      <c r="V48" s="266"/>
    </row>
    <row r="49" spans="1:22" ht="19.5" customHeight="1">
      <c r="A49" s="232">
        <v>41</v>
      </c>
      <c r="B49" s="275" t="s">
        <v>9</v>
      </c>
      <c r="C49" s="275">
        <v>4</v>
      </c>
      <c r="D49" s="276" t="s">
        <v>18</v>
      </c>
      <c r="E49" s="275" t="s">
        <v>29</v>
      </c>
      <c r="F49" s="275">
        <v>58</v>
      </c>
      <c r="G49" s="234" t="s">
        <v>256</v>
      </c>
      <c r="H49" s="277">
        <v>1</v>
      </c>
      <c r="I49" s="278">
        <v>358</v>
      </c>
      <c r="J49" s="263">
        <v>335</v>
      </c>
      <c r="K49" s="277">
        <v>1</v>
      </c>
      <c r="L49" s="263"/>
      <c r="M49" s="280" t="s">
        <v>115</v>
      </c>
      <c r="N49" s="234" t="s">
        <v>459</v>
      </c>
      <c r="O49" s="281">
        <v>44252</v>
      </c>
      <c r="P49" s="275" t="s">
        <v>462</v>
      </c>
      <c r="Q49" s="263" t="s">
        <v>105</v>
      </c>
      <c r="R49" s="233"/>
      <c r="S49" s="282"/>
      <c r="V49" s="266"/>
    </row>
    <row r="50" spans="1:22" ht="19.5" customHeight="1">
      <c r="A50" s="232">
        <v>42</v>
      </c>
      <c r="B50" s="275" t="s">
        <v>9</v>
      </c>
      <c r="C50" s="275">
        <v>4</v>
      </c>
      <c r="D50" s="276" t="s">
        <v>18</v>
      </c>
      <c r="E50" s="275" t="s">
        <v>26</v>
      </c>
      <c r="F50" s="275">
        <v>63</v>
      </c>
      <c r="G50" s="234" t="s">
        <v>72</v>
      </c>
      <c r="H50" s="277">
        <v>1.8</v>
      </c>
      <c r="I50" s="278">
        <v>287</v>
      </c>
      <c r="J50" s="263">
        <v>267</v>
      </c>
      <c r="K50" s="277">
        <v>1.8</v>
      </c>
      <c r="L50" s="263"/>
      <c r="M50" s="280" t="s">
        <v>115</v>
      </c>
      <c r="N50" s="234" t="s">
        <v>459</v>
      </c>
      <c r="O50" s="281">
        <v>44252</v>
      </c>
      <c r="P50" s="275" t="s">
        <v>462</v>
      </c>
      <c r="Q50" s="263" t="s">
        <v>105</v>
      </c>
      <c r="R50" s="233"/>
      <c r="S50" s="282"/>
      <c r="V50" s="266"/>
    </row>
    <row r="51" spans="1:22" ht="19.5" customHeight="1">
      <c r="A51" s="232">
        <v>43</v>
      </c>
      <c r="B51" s="275" t="s">
        <v>9</v>
      </c>
      <c r="C51" s="275">
        <v>3</v>
      </c>
      <c r="D51" s="276" t="s">
        <v>18</v>
      </c>
      <c r="E51" s="275" t="s">
        <v>26</v>
      </c>
      <c r="F51" s="275">
        <v>21</v>
      </c>
      <c r="G51" s="234" t="s">
        <v>420</v>
      </c>
      <c r="H51" s="277">
        <v>1.1000000000000001</v>
      </c>
      <c r="I51" s="278">
        <v>487</v>
      </c>
      <c r="J51" s="263">
        <v>459</v>
      </c>
      <c r="K51" s="277">
        <v>1.1000000000000001</v>
      </c>
      <c r="L51" s="263"/>
      <c r="M51" s="280" t="s">
        <v>115</v>
      </c>
      <c r="N51" s="234" t="s">
        <v>459</v>
      </c>
      <c r="O51" s="281">
        <v>44252</v>
      </c>
      <c r="P51" s="275" t="s">
        <v>462</v>
      </c>
      <c r="Q51" s="263" t="s">
        <v>105</v>
      </c>
      <c r="R51" s="233"/>
      <c r="S51" s="282"/>
      <c r="V51" s="266"/>
    </row>
    <row r="52" spans="1:22" ht="19.5" customHeight="1">
      <c r="A52" s="232">
        <v>44</v>
      </c>
      <c r="B52" s="275" t="s">
        <v>9</v>
      </c>
      <c r="C52" s="275">
        <v>4</v>
      </c>
      <c r="D52" s="276" t="s">
        <v>18</v>
      </c>
      <c r="E52" s="275" t="s">
        <v>28</v>
      </c>
      <c r="F52" s="275">
        <v>29</v>
      </c>
      <c r="G52" s="234" t="s">
        <v>83</v>
      </c>
      <c r="H52" s="277">
        <v>3</v>
      </c>
      <c r="I52" s="278">
        <v>1076</v>
      </c>
      <c r="J52" s="263">
        <v>985</v>
      </c>
      <c r="K52" s="277">
        <v>3</v>
      </c>
      <c r="L52" s="263"/>
      <c r="M52" s="280" t="s">
        <v>115</v>
      </c>
      <c r="N52" s="234" t="s">
        <v>459</v>
      </c>
      <c r="O52" s="281">
        <v>44252</v>
      </c>
      <c r="P52" s="275" t="s">
        <v>462</v>
      </c>
      <c r="Q52" s="263" t="s">
        <v>105</v>
      </c>
      <c r="R52" s="233"/>
      <c r="S52" s="282"/>
      <c r="V52" s="266"/>
    </row>
    <row r="53" spans="1:22" ht="19.5" customHeight="1">
      <c r="A53" s="232">
        <v>45</v>
      </c>
      <c r="B53" s="275" t="s">
        <v>9</v>
      </c>
      <c r="C53" s="275">
        <v>4</v>
      </c>
      <c r="D53" s="276" t="s">
        <v>18</v>
      </c>
      <c r="E53" s="275" t="s">
        <v>28</v>
      </c>
      <c r="F53" s="275">
        <v>47</v>
      </c>
      <c r="G53" s="234" t="s">
        <v>70</v>
      </c>
      <c r="H53" s="277">
        <v>1.9</v>
      </c>
      <c r="I53" s="278">
        <v>955</v>
      </c>
      <c r="J53" s="263">
        <v>850</v>
      </c>
      <c r="K53" s="277">
        <v>1.9</v>
      </c>
      <c r="L53" s="263"/>
      <c r="M53" s="280" t="s">
        <v>115</v>
      </c>
      <c r="N53" s="234" t="s">
        <v>459</v>
      </c>
      <c r="O53" s="281">
        <v>44252</v>
      </c>
      <c r="P53" s="275" t="s">
        <v>462</v>
      </c>
      <c r="Q53" s="263" t="s">
        <v>105</v>
      </c>
      <c r="R53" s="233"/>
      <c r="S53" s="282"/>
      <c r="V53" s="266"/>
    </row>
    <row r="54" spans="1:22" ht="19.5" customHeight="1">
      <c r="A54" s="232">
        <v>46</v>
      </c>
      <c r="B54" s="275" t="s">
        <v>7</v>
      </c>
      <c r="C54" s="275">
        <v>4</v>
      </c>
      <c r="D54" s="276" t="s">
        <v>18</v>
      </c>
      <c r="E54" s="275" t="s">
        <v>28</v>
      </c>
      <c r="F54" s="275">
        <v>76</v>
      </c>
      <c r="G54" s="234" t="s">
        <v>90</v>
      </c>
      <c r="H54" s="277">
        <v>0.8</v>
      </c>
      <c r="I54" s="278">
        <v>148</v>
      </c>
      <c r="J54" s="263">
        <v>129</v>
      </c>
      <c r="K54" s="277">
        <v>0.8</v>
      </c>
      <c r="L54" s="263"/>
      <c r="M54" s="280" t="s">
        <v>115</v>
      </c>
      <c r="N54" s="234" t="s">
        <v>358</v>
      </c>
      <c r="O54" s="281">
        <v>44200</v>
      </c>
      <c r="P54" s="275" t="s">
        <v>462</v>
      </c>
      <c r="Q54" s="263" t="s">
        <v>105</v>
      </c>
      <c r="R54" s="233"/>
      <c r="S54" s="282"/>
      <c r="V54" s="266"/>
    </row>
    <row r="55" spans="1:22" ht="19.5" customHeight="1">
      <c r="A55" s="232">
        <v>47</v>
      </c>
      <c r="B55" s="275" t="s">
        <v>7</v>
      </c>
      <c r="C55" s="275">
        <v>4</v>
      </c>
      <c r="D55" s="276" t="s">
        <v>18</v>
      </c>
      <c r="E55" s="275" t="s">
        <v>28</v>
      </c>
      <c r="F55" s="275">
        <v>79</v>
      </c>
      <c r="G55" s="234" t="s">
        <v>80</v>
      </c>
      <c r="H55" s="277">
        <v>0.3</v>
      </c>
      <c r="I55" s="278">
        <v>102</v>
      </c>
      <c r="J55" s="263">
        <v>93</v>
      </c>
      <c r="K55" s="277">
        <v>0.3</v>
      </c>
      <c r="L55" s="263"/>
      <c r="M55" s="280" t="s">
        <v>115</v>
      </c>
      <c r="N55" s="234" t="s">
        <v>449</v>
      </c>
      <c r="O55" s="281">
        <v>44237</v>
      </c>
      <c r="P55" s="275" t="s">
        <v>462</v>
      </c>
      <c r="Q55" s="263" t="s">
        <v>105</v>
      </c>
      <c r="R55" s="233"/>
      <c r="S55" s="282"/>
      <c r="V55" s="266"/>
    </row>
    <row r="56" spans="1:22" ht="19.5" customHeight="1">
      <c r="A56" s="232">
        <v>48</v>
      </c>
      <c r="B56" s="275" t="s">
        <v>7</v>
      </c>
      <c r="C56" s="275">
        <v>4</v>
      </c>
      <c r="D56" s="276" t="s">
        <v>18</v>
      </c>
      <c r="E56" s="275" t="s">
        <v>26</v>
      </c>
      <c r="F56" s="275">
        <v>96</v>
      </c>
      <c r="G56" s="234" t="s">
        <v>195</v>
      </c>
      <c r="H56" s="277">
        <v>2.6</v>
      </c>
      <c r="I56" s="278">
        <v>921</v>
      </c>
      <c r="J56" s="263">
        <f>789+52</f>
        <v>841</v>
      </c>
      <c r="K56" s="277">
        <v>2.6</v>
      </c>
      <c r="L56" s="263"/>
      <c r="M56" s="280" t="s">
        <v>115</v>
      </c>
      <c r="N56" s="234" t="s">
        <v>449</v>
      </c>
      <c r="O56" s="281">
        <v>44237</v>
      </c>
      <c r="P56" s="275" t="s">
        <v>462</v>
      </c>
      <c r="Q56" s="263" t="s">
        <v>105</v>
      </c>
      <c r="R56" s="233"/>
      <c r="S56" s="282"/>
      <c r="V56" s="266"/>
    </row>
    <row r="57" spans="1:22" ht="19.5" customHeight="1">
      <c r="A57" s="232">
        <v>49</v>
      </c>
      <c r="B57" s="275" t="s">
        <v>7</v>
      </c>
      <c r="C57" s="275">
        <v>4</v>
      </c>
      <c r="D57" s="276" t="s">
        <v>18</v>
      </c>
      <c r="E57" s="275" t="s">
        <v>26</v>
      </c>
      <c r="F57" s="275">
        <v>86</v>
      </c>
      <c r="G57" s="234" t="s">
        <v>72</v>
      </c>
      <c r="H57" s="277">
        <v>0.4</v>
      </c>
      <c r="I57" s="278">
        <v>149</v>
      </c>
      <c r="J57" s="263">
        <v>136</v>
      </c>
      <c r="K57" s="277">
        <v>0.4</v>
      </c>
      <c r="L57" s="263"/>
      <c r="M57" s="280" t="s">
        <v>115</v>
      </c>
      <c r="N57" s="234" t="s">
        <v>455</v>
      </c>
      <c r="O57" s="281">
        <v>44252</v>
      </c>
      <c r="P57" s="275" t="s">
        <v>462</v>
      </c>
      <c r="Q57" s="263" t="s">
        <v>105</v>
      </c>
      <c r="R57" s="233"/>
      <c r="S57" s="282"/>
      <c r="V57" s="266"/>
    </row>
    <row r="58" spans="1:22" ht="19.5" customHeight="1">
      <c r="A58" s="232">
        <v>50</v>
      </c>
      <c r="B58" s="275" t="s">
        <v>7</v>
      </c>
      <c r="C58" s="275">
        <v>4</v>
      </c>
      <c r="D58" s="276" t="s">
        <v>18</v>
      </c>
      <c r="E58" s="275" t="s">
        <v>29</v>
      </c>
      <c r="F58" s="275">
        <v>103</v>
      </c>
      <c r="G58" s="234" t="s">
        <v>87</v>
      </c>
      <c r="H58" s="277">
        <v>0.8</v>
      </c>
      <c r="I58" s="278">
        <v>229</v>
      </c>
      <c r="J58" s="263">
        <v>216</v>
      </c>
      <c r="K58" s="277">
        <v>0.8</v>
      </c>
      <c r="L58" s="263"/>
      <c r="M58" s="280" t="s">
        <v>115</v>
      </c>
      <c r="N58" s="234" t="s">
        <v>455</v>
      </c>
      <c r="O58" s="281">
        <v>44252</v>
      </c>
      <c r="P58" s="275" t="s">
        <v>462</v>
      </c>
      <c r="Q58" s="263" t="s">
        <v>105</v>
      </c>
      <c r="R58" s="233"/>
      <c r="S58" s="282"/>
      <c r="V58" s="266"/>
    </row>
    <row r="59" spans="1:22" ht="19.5" customHeight="1">
      <c r="A59" s="232">
        <v>51</v>
      </c>
      <c r="B59" s="275" t="s">
        <v>10</v>
      </c>
      <c r="C59" s="275">
        <v>4</v>
      </c>
      <c r="D59" s="276" t="s">
        <v>18</v>
      </c>
      <c r="E59" s="275" t="s">
        <v>26</v>
      </c>
      <c r="F59" s="275">
        <v>9</v>
      </c>
      <c r="G59" s="234" t="s">
        <v>79</v>
      </c>
      <c r="H59" s="277">
        <v>2</v>
      </c>
      <c r="I59" s="278">
        <v>543</v>
      </c>
      <c r="J59" s="263">
        <f>464+42</f>
        <v>506</v>
      </c>
      <c r="K59" s="277">
        <v>2</v>
      </c>
      <c r="L59" s="263"/>
      <c r="M59" s="280" t="s">
        <v>115</v>
      </c>
      <c r="N59" s="234" t="s">
        <v>359</v>
      </c>
      <c r="O59" s="281">
        <v>44200</v>
      </c>
      <c r="P59" s="275" t="s">
        <v>462</v>
      </c>
      <c r="Q59" s="263" t="s">
        <v>47</v>
      </c>
      <c r="R59" s="233"/>
      <c r="S59" s="282"/>
      <c r="V59" s="266"/>
    </row>
    <row r="60" spans="1:22" ht="19.5" customHeight="1">
      <c r="A60" s="232">
        <v>52</v>
      </c>
      <c r="B60" s="275" t="s">
        <v>10</v>
      </c>
      <c r="C60" s="275">
        <v>4</v>
      </c>
      <c r="D60" s="276" t="s">
        <v>18</v>
      </c>
      <c r="E60" s="275" t="s">
        <v>29</v>
      </c>
      <c r="F60" s="275">
        <v>7</v>
      </c>
      <c r="G60" s="234" t="s">
        <v>447</v>
      </c>
      <c r="H60" s="277">
        <v>1.3</v>
      </c>
      <c r="I60" s="278">
        <v>413</v>
      </c>
      <c r="J60" s="263">
        <f>366+31</f>
        <v>397</v>
      </c>
      <c r="K60" s="277">
        <v>1.3</v>
      </c>
      <c r="L60" s="263"/>
      <c r="M60" s="280" t="s">
        <v>115</v>
      </c>
      <c r="N60" s="234" t="s">
        <v>448</v>
      </c>
      <c r="O60" s="281">
        <v>44237</v>
      </c>
      <c r="P60" s="275" t="s">
        <v>462</v>
      </c>
      <c r="Q60" s="263" t="s">
        <v>47</v>
      </c>
      <c r="R60" s="233"/>
      <c r="S60" s="282"/>
      <c r="V60" s="266"/>
    </row>
    <row r="61" spans="1:22" ht="19.5" customHeight="1">
      <c r="A61" s="232">
        <v>53</v>
      </c>
      <c r="B61" s="275" t="s">
        <v>10</v>
      </c>
      <c r="C61" s="275">
        <v>4</v>
      </c>
      <c r="D61" s="276" t="s">
        <v>18</v>
      </c>
      <c r="E61" s="275" t="s">
        <v>28</v>
      </c>
      <c r="F61" s="275">
        <v>12</v>
      </c>
      <c r="G61" s="234" t="s">
        <v>100</v>
      </c>
      <c r="H61" s="277">
        <v>0.4</v>
      </c>
      <c r="I61" s="278">
        <v>242</v>
      </c>
      <c r="J61" s="263">
        <f>211+8</f>
        <v>219</v>
      </c>
      <c r="K61" s="277">
        <v>0.4</v>
      </c>
      <c r="L61" s="263"/>
      <c r="M61" s="280" t="s">
        <v>115</v>
      </c>
      <c r="N61" s="234" t="s">
        <v>448</v>
      </c>
      <c r="O61" s="281">
        <v>44237</v>
      </c>
      <c r="P61" s="275" t="s">
        <v>462</v>
      </c>
      <c r="Q61" s="263" t="s">
        <v>47</v>
      </c>
      <c r="R61" s="233"/>
      <c r="S61" s="282"/>
      <c r="V61" s="266"/>
    </row>
    <row r="62" spans="1:22" ht="19.5" customHeight="1">
      <c r="A62" s="232">
        <v>54</v>
      </c>
      <c r="B62" s="275" t="s">
        <v>10</v>
      </c>
      <c r="C62" s="275">
        <v>4</v>
      </c>
      <c r="D62" s="276" t="s">
        <v>18</v>
      </c>
      <c r="E62" s="275" t="s">
        <v>28</v>
      </c>
      <c r="F62" s="275">
        <v>124</v>
      </c>
      <c r="G62" s="234" t="s">
        <v>72</v>
      </c>
      <c r="H62" s="277">
        <v>1</v>
      </c>
      <c r="I62" s="278">
        <v>406</v>
      </c>
      <c r="J62" s="263">
        <v>373</v>
      </c>
      <c r="K62" s="277">
        <v>1</v>
      </c>
      <c r="L62" s="263"/>
      <c r="M62" s="280" t="s">
        <v>115</v>
      </c>
      <c r="N62" s="234" t="s">
        <v>448</v>
      </c>
      <c r="O62" s="281">
        <v>44237</v>
      </c>
      <c r="P62" s="275" t="s">
        <v>462</v>
      </c>
      <c r="Q62" s="263" t="s">
        <v>47</v>
      </c>
      <c r="R62" s="233"/>
      <c r="S62" s="282"/>
      <c r="V62" s="266"/>
    </row>
    <row r="63" spans="1:22" ht="19.5" customHeight="1">
      <c r="A63" s="232">
        <v>55</v>
      </c>
      <c r="B63" s="275" t="s">
        <v>10</v>
      </c>
      <c r="C63" s="275">
        <v>4</v>
      </c>
      <c r="D63" s="276" t="s">
        <v>18</v>
      </c>
      <c r="E63" s="275" t="s">
        <v>26</v>
      </c>
      <c r="F63" s="275">
        <v>129</v>
      </c>
      <c r="G63" s="234" t="s">
        <v>98</v>
      </c>
      <c r="H63" s="277">
        <v>4</v>
      </c>
      <c r="I63" s="278">
        <v>1043</v>
      </c>
      <c r="J63" s="263">
        <f>867+69</f>
        <v>936</v>
      </c>
      <c r="K63" s="277">
        <v>4</v>
      </c>
      <c r="L63" s="263"/>
      <c r="M63" s="280" t="s">
        <v>115</v>
      </c>
      <c r="N63" s="234" t="s">
        <v>460</v>
      </c>
      <c r="O63" s="281">
        <v>44252</v>
      </c>
      <c r="P63" s="275" t="s">
        <v>462</v>
      </c>
      <c r="Q63" s="263" t="s">
        <v>47</v>
      </c>
      <c r="R63" s="233"/>
      <c r="S63" s="282"/>
      <c r="V63" s="266"/>
    </row>
    <row r="64" spans="1:22" ht="19.5" customHeight="1">
      <c r="A64" s="232">
        <v>56</v>
      </c>
      <c r="B64" s="275" t="s">
        <v>10</v>
      </c>
      <c r="C64" s="275">
        <v>4</v>
      </c>
      <c r="D64" s="276" t="s">
        <v>18</v>
      </c>
      <c r="E64" s="275" t="s">
        <v>26</v>
      </c>
      <c r="F64" s="275">
        <v>7</v>
      </c>
      <c r="G64" s="234" t="s">
        <v>78</v>
      </c>
      <c r="H64" s="277">
        <v>1.3</v>
      </c>
      <c r="I64" s="278">
        <v>525</v>
      </c>
      <c r="J64" s="263">
        <v>480</v>
      </c>
      <c r="K64" s="277">
        <v>1.3</v>
      </c>
      <c r="L64" s="263"/>
      <c r="M64" s="280" t="s">
        <v>115</v>
      </c>
      <c r="N64" s="234" t="s">
        <v>460</v>
      </c>
      <c r="O64" s="281">
        <v>44252</v>
      </c>
      <c r="P64" s="275" t="s">
        <v>462</v>
      </c>
      <c r="Q64" s="263" t="s">
        <v>47</v>
      </c>
      <c r="R64" s="233"/>
      <c r="S64" s="282"/>
      <c r="V64" s="266"/>
    </row>
    <row r="65" spans="1:27" s="267" customFormat="1" ht="19.5" customHeight="1">
      <c r="A65" s="232">
        <v>57</v>
      </c>
      <c r="B65" s="275" t="s">
        <v>10</v>
      </c>
      <c r="C65" s="275">
        <v>4</v>
      </c>
      <c r="D65" s="276" t="s">
        <v>18</v>
      </c>
      <c r="E65" s="275" t="s">
        <v>29</v>
      </c>
      <c r="F65" s="275">
        <v>20</v>
      </c>
      <c r="G65" s="234" t="s">
        <v>69</v>
      </c>
      <c r="H65" s="277">
        <v>0.3</v>
      </c>
      <c r="I65" s="278">
        <v>66</v>
      </c>
      <c r="J65" s="263">
        <v>64</v>
      </c>
      <c r="K65" s="277">
        <v>0.3</v>
      </c>
      <c r="L65" s="263"/>
      <c r="M65" s="280" t="s">
        <v>115</v>
      </c>
      <c r="N65" s="234" t="s">
        <v>460</v>
      </c>
      <c r="O65" s="281">
        <v>44252</v>
      </c>
      <c r="P65" s="275" t="s">
        <v>462</v>
      </c>
      <c r="Q65" s="263" t="s">
        <v>47</v>
      </c>
      <c r="R65" s="233"/>
      <c r="S65" s="282"/>
      <c r="T65" s="265"/>
      <c r="U65" s="265"/>
      <c r="V65" s="266"/>
    </row>
    <row r="66" spans="1:27" s="267" customFormat="1" ht="19.5" customHeight="1">
      <c r="A66" s="232">
        <v>58</v>
      </c>
      <c r="B66" s="275" t="s">
        <v>10</v>
      </c>
      <c r="C66" s="275">
        <v>4</v>
      </c>
      <c r="D66" s="276" t="s">
        <v>18</v>
      </c>
      <c r="E66" s="275" t="s">
        <v>29</v>
      </c>
      <c r="F66" s="275">
        <v>39</v>
      </c>
      <c r="G66" s="234" t="s">
        <v>79</v>
      </c>
      <c r="H66" s="277">
        <v>0.4</v>
      </c>
      <c r="I66" s="278">
        <v>95</v>
      </c>
      <c r="J66" s="263">
        <v>91</v>
      </c>
      <c r="K66" s="277">
        <v>0.4</v>
      </c>
      <c r="L66" s="263"/>
      <c r="M66" s="280" t="s">
        <v>115</v>
      </c>
      <c r="N66" s="234" t="s">
        <v>460</v>
      </c>
      <c r="O66" s="281">
        <v>44252</v>
      </c>
      <c r="P66" s="275" t="s">
        <v>462</v>
      </c>
      <c r="Q66" s="263" t="s">
        <v>47</v>
      </c>
      <c r="R66" s="233"/>
      <c r="S66" s="282"/>
      <c r="T66" s="265"/>
      <c r="U66" s="265"/>
      <c r="V66" s="266"/>
    </row>
    <row r="67" spans="1:27" s="267" customFormat="1" ht="19.5" customHeight="1">
      <c r="A67" s="232">
        <v>59</v>
      </c>
      <c r="B67" s="275" t="s">
        <v>10</v>
      </c>
      <c r="C67" s="275">
        <v>4</v>
      </c>
      <c r="D67" s="276" t="s">
        <v>18</v>
      </c>
      <c r="E67" s="275" t="s">
        <v>26</v>
      </c>
      <c r="F67" s="275">
        <v>8</v>
      </c>
      <c r="G67" s="234" t="s">
        <v>90</v>
      </c>
      <c r="H67" s="277">
        <v>0.6</v>
      </c>
      <c r="I67" s="278">
        <v>165</v>
      </c>
      <c r="J67" s="263">
        <v>156</v>
      </c>
      <c r="K67" s="277">
        <v>0.6</v>
      </c>
      <c r="L67" s="263"/>
      <c r="M67" s="280" t="s">
        <v>115</v>
      </c>
      <c r="N67" s="234" t="s">
        <v>460</v>
      </c>
      <c r="O67" s="281">
        <v>44252</v>
      </c>
      <c r="P67" s="275" t="s">
        <v>462</v>
      </c>
      <c r="Q67" s="263" t="s">
        <v>47</v>
      </c>
      <c r="R67" s="233"/>
      <c r="S67" s="282"/>
      <c r="T67" s="265"/>
      <c r="U67" s="265"/>
      <c r="V67" s="266"/>
    </row>
    <row r="68" spans="1:27" s="267" customFormat="1" ht="19.5" customHeight="1">
      <c r="A68" s="232">
        <v>60</v>
      </c>
      <c r="B68" s="275" t="s">
        <v>10</v>
      </c>
      <c r="C68" s="275">
        <v>4</v>
      </c>
      <c r="D68" s="276" t="s">
        <v>18</v>
      </c>
      <c r="E68" s="275" t="s">
        <v>28</v>
      </c>
      <c r="F68" s="275">
        <v>9</v>
      </c>
      <c r="G68" s="234" t="s">
        <v>92</v>
      </c>
      <c r="H68" s="277">
        <v>0.8</v>
      </c>
      <c r="I68" s="278">
        <v>186</v>
      </c>
      <c r="J68" s="263">
        <v>170</v>
      </c>
      <c r="K68" s="277">
        <v>0.8</v>
      </c>
      <c r="L68" s="263"/>
      <c r="M68" s="280" t="s">
        <v>115</v>
      </c>
      <c r="N68" s="234" t="s">
        <v>460</v>
      </c>
      <c r="O68" s="281">
        <v>44252</v>
      </c>
      <c r="P68" s="275" t="s">
        <v>462</v>
      </c>
      <c r="Q68" s="263" t="s">
        <v>47</v>
      </c>
      <c r="R68" s="233"/>
      <c r="S68" s="282"/>
      <c r="T68" s="265"/>
      <c r="U68" s="265"/>
      <c r="V68" s="266"/>
    </row>
    <row r="69" spans="1:27" s="267" customFormat="1">
      <c r="A69" s="232">
        <v>61</v>
      </c>
      <c r="B69" s="275" t="s">
        <v>25</v>
      </c>
      <c r="C69" s="275">
        <v>2</v>
      </c>
      <c r="D69" s="276" t="s">
        <v>31</v>
      </c>
      <c r="E69" s="275" t="s">
        <v>26</v>
      </c>
      <c r="F69" s="275">
        <v>44</v>
      </c>
      <c r="G69" s="234" t="s">
        <v>87</v>
      </c>
      <c r="H69" s="279">
        <v>1.2</v>
      </c>
      <c r="I69" s="263">
        <v>1</v>
      </c>
      <c r="J69" s="263"/>
      <c r="K69" s="277">
        <v>1.2</v>
      </c>
      <c r="L69" s="263"/>
      <c r="M69" s="280" t="s">
        <v>115</v>
      </c>
      <c r="N69" s="234" t="s">
        <v>360</v>
      </c>
      <c r="O69" s="281">
        <v>44211</v>
      </c>
      <c r="P69" s="275" t="s">
        <v>62</v>
      </c>
      <c r="Q69" s="263" t="s">
        <v>33</v>
      </c>
      <c r="R69" s="233"/>
      <c r="S69" s="282"/>
      <c r="T69" s="265"/>
      <c r="U69" s="265"/>
      <c r="V69" s="266" t="s">
        <v>43</v>
      </c>
      <c r="X69" s="240"/>
      <c r="Y69" s="268"/>
      <c r="Z69" s="240"/>
      <c r="AA69" s="241"/>
    </row>
    <row r="70" spans="1:27" s="267" customFormat="1">
      <c r="A70" s="232">
        <v>62</v>
      </c>
      <c r="B70" s="275" t="s">
        <v>25</v>
      </c>
      <c r="C70" s="275">
        <v>2</v>
      </c>
      <c r="D70" s="276" t="s">
        <v>31</v>
      </c>
      <c r="E70" s="275" t="s">
        <v>28</v>
      </c>
      <c r="F70" s="275">
        <v>44</v>
      </c>
      <c r="G70" s="234" t="s">
        <v>238</v>
      </c>
      <c r="H70" s="277">
        <v>0.4</v>
      </c>
      <c r="I70" s="263">
        <v>1</v>
      </c>
      <c r="J70" s="263"/>
      <c r="K70" s="277">
        <v>0.4</v>
      </c>
      <c r="L70" s="263"/>
      <c r="M70" s="280" t="s">
        <v>115</v>
      </c>
      <c r="N70" s="234" t="s">
        <v>360</v>
      </c>
      <c r="O70" s="281">
        <v>44211</v>
      </c>
      <c r="P70" s="275" t="s">
        <v>62</v>
      </c>
      <c r="Q70" s="263" t="s">
        <v>33</v>
      </c>
      <c r="R70" s="233"/>
      <c r="S70" s="282"/>
      <c r="T70" s="265"/>
      <c r="U70" s="265"/>
      <c r="V70" s="266"/>
      <c r="X70" s="240"/>
      <c r="Y70" s="268"/>
      <c r="Z70" s="240"/>
      <c r="AA70" s="241"/>
    </row>
    <row r="71" spans="1:27" s="267" customFormat="1">
      <c r="A71" s="232">
        <v>63</v>
      </c>
      <c r="B71" s="275" t="s">
        <v>25</v>
      </c>
      <c r="C71" s="275">
        <v>2</v>
      </c>
      <c r="D71" s="276" t="s">
        <v>31</v>
      </c>
      <c r="E71" s="275" t="s">
        <v>26</v>
      </c>
      <c r="F71" s="275">
        <v>44</v>
      </c>
      <c r="G71" s="234" t="s">
        <v>79</v>
      </c>
      <c r="H71" s="277">
        <v>1.3</v>
      </c>
      <c r="I71" s="263">
        <v>3</v>
      </c>
      <c r="J71" s="263"/>
      <c r="K71" s="277">
        <v>1.3</v>
      </c>
      <c r="L71" s="263"/>
      <c r="M71" s="280" t="s">
        <v>115</v>
      </c>
      <c r="N71" s="234" t="s">
        <v>360</v>
      </c>
      <c r="O71" s="281">
        <v>44211</v>
      </c>
      <c r="P71" s="275" t="s">
        <v>62</v>
      </c>
      <c r="Q71" s="263" t="s">
        <v>33</v>
      </c>
      <c r="R71" s="233"/>
      <c r="S71" s="282"/>
      <c r="T71" s="265"/>
      <c r="U71" s="265"/>
      <c r="V71" s="266" t="s">
        <v>45</v>
      </c>
      <c r="X71" s="240"/>
      <c r="Y71" s="268"/>
      <c r="Z71" s="240"/>
      <c r="AA71" s="241"/>
    </row>
    <row r="72" spans="1:27" s="267" customFormat="1">
      <c r="A72" s="232">
        <v>64</v>
      </c>
      <c r="B72" s="275" t="s">
        <v>25</v>
      </c>
      <c r="C72" s="275">
        <v>2</v>
      </c>
      <c r="D72" s="276" t="s">
        <v>31</v>
      </c>
      <c r="E72" s="275" t="s">
        <v>26</v>
      </c>
      <c r="F72" s="275">
        <v>45</v>
      </c>
      <c r="G72" s="234" t="s">
        <v>97</v>
      </c>
      <c r="H72" s="277">
        <v>1</v>
      </c>
      <c r="I72" s="263">
        <v>5</v>
      </c>
      <c r="J72" s="263"/>
      <c r="K72" s="277">
        <v>1</v>
      </c>
      <c r="L72" s="263"/>
      <c r="M72" s="280" t="s">
        <v>115</v>
      </c>
      <c r="N72" s="234" t="s">
        <v>360</v>
      </c>
      <c r="O72" s="281">
        <v>44211</v>
      </c>
      <c r="P72" s="275" t="s">
        <v>62</v>
      </c>
      <c r="Q72" s="263" t="s">
        <v>33</v>
      </c>
      <c r="R72" s="233"/>
      <c r="S72" s="282"/>
      <c r="T72" s="265"/>
      <c r="U72" s="265"/>
      <c r="V72" s="266" t="s">
        <v>45</v>
      </c>
      <c r="X72" s="240"/>
      <c r="Y72" s="268"/>
      <c r="Z72" s="240"/>
      <c r="AA72" s="241"/>
    </row>
    <row r="73" spans="1:27" s="267" customFormat="1">
      <c r="A73" s="232">
        <v>65</v>
      </c>
      <c r="B73" s="275" t="s">
        <v>25</v>
      </c>
      <c r="C73" s="275">
        <v>2</v>
      </c>
      <c r="D73" s="276" t="s">
        <v>31</v>
      </c>
      <c r="E73" s="275" t="s">
        <v>28</v>
      </c>
      <c r="F73" s="275">
        <v>45</v>
      </c>
      <c r="G73" s="234" t="s">
        <v>101</v>
      </c>
      <c r="H73" s="277">
        <v>1.4</v>
      </c>
      <c r="I73" s="263">
        <v>1</v>
      </c>
      <c r="J73" s="263"/>
      <c r="K73" s="277">
        <v>1.4</v>
      </c>
      <c r="L73" s="263"/>
      <c r="M73" s="280" t="s">
        <v>115</v>
      </c>
      <c r="N73" s="234" t="s">
        <v>360</v>
      </c>
      <c r="O73" s="281">
        <v>44211</v>
      </c>
      <c r="P73" s="275" t="s">
        <v>62</v>
      </c>
      <c r="Q73" s="263" t="s">
        <v>33</v>
      </c>
      <c r="R73" s="233"/>
      <c r="S73" s="282"/>
      <c r="T73" s="265"/>
      <c r="U73" s="265"/>
      <c r="V73" s="266"/>
      <c r="X73" s="240"/>
      <c r="Y73" s="268"/>
      <c r="Z73" s="240"/>
      <c r="AA73" s="241"/>
    </row>
    <row r="74" spans="1:27" s="267" customFormat="1">
      <c r="A74" s="232">
        <v>66</v>
      </c>
      <c r="B74" s="275" t="s">
        <v>25</v>
      </c>
      <c r="C74" s="275">
        <v>2</v>
      </c>
      <c r="D74" s="276" t="s">
        <v>31</v>
      </c>
      <c r="E74" s="275" t="s">
        <v>26</v>
      </c>
      <c r="F74" s="275">
        <v>54</v>
      </c>
      <c r="G74" s="234" t="s">
        <v>74</v>
      </c>
      <c r="H74" s="277">
        <v>2.9</v>
      </c>
      <c r="I74" s="263">
        <v>10</v>
      </c>
      <c r="J74" s="263"/>
      <c r="K74" s="277">
        <v>2.9</v>
      </c>
      <c r="L74" s="263"/>
      <c r="M74" s="280" t="s">
        <v>115</v>
      </c>
      <c r="N74" s="234" t="s">
        <v>360</v>
      </c>
      <c r="O74" s="281">
        <v>44211</v>
      </c>
      <c r="P74" s="275" t="s">
        <v>62</v>
      </c>
      <c r="Q74" s="263" t="s">
        <v>33</v>
      </c>
      <c r="R74" s="233"/>
      <c r="S74" s="282"/>
      <c r="T74" s="265"/>
      <c r="U74" s="265"/>
      <c r="V74" s="266"/>
      <c r="X74" s="240"/>
      <c r="Y74" s="268"/>
      <c r="Z74" s="240"/>
      <c r="AA74" s="241"/>
    </row>
    <row r="75" spans="1:27" s="267" customFormat="1">
      <c r="A75" s="232">
        <v>67</v>
      </c>
      <c r="B75" s="275" t="s">
        <v>25</v>
      </c>
      <c r="C75" s="275">
        <v>2</v>
      </c>
      <c r="D75" s="276" t="s">
        <v>31</v>
      </c>
      <c r="E75" s="275" t="s">
        <v>26</v>
      </c>
      <c r="F75" s="275">
        <v>78</v>
      </c>
      <c r="G75" s="234" t="s">
        <v>264</v>
      </c>
      <c r="H75" s="277">
        <v>1.3</v>
      </c>
      <c r="I75" s="263">
        <v>15</v>
      </c>
      <c r="J75" s="263"/>
      <c r="K75" s="277">
        <v>1.3</v>
      </c>
      <c r="L75" s="263"/>
      <c r="M75" s="280" t="s">
        <v>115</v>
      </c>
      <c r="N75" s="234" t="s">
        <v>360</v>
      </c>
      <c r="O75" s="281">
        <v>44211</v>
      </c>
      <c r="P75" s="275" t="s">
        <v>62</v>
      </c>
      <c r="Q75" s="263" t="s">
        <v>33</v>
      </c>
      <c r="R75" s="233"/>
      <c r="S75" s="282"/>
      <c r="T75" s="265"/>
      <c r="U75" s="265"/>
      <c r="V75" s="266"/>
      <c r="X75" s="240"/>
      <c r="Y75" s="268"/>
      <c r="Z75" s="240"/>
      <c r="AA75" s="241"/>
    </row>
    <row r="76" spans="1:27" s="267" customFormat="1">
      <c r="A76" s="232">
        <v>68</v>
      </c>
      <c r="B76" s="275" t="s">
        <v>25</v>
      </c>
      <c r="C76" s="275">
        <v>2</v>
      </c>
      <c r="D76" s="276" t="s">
        <v>23</v>
      </c>
      <c r="E76" s="275" t="s">
        <v>26</v>
      </c>
      <c r="F76" s="275">
        <v>37</v>
      </c>
      <c r="G76" s="234" t="s">
        <v>67</v>
      </c>
      <c r="H76" s="277">
        <v>0.5</v>
      </c>
      <c r="I76" s="263">
        <v>14</v>
      </c>
      <c r="J76" s="263">
        <v>6</v>
      </c>
      <c r="K76" s="277">
        <v>0.5</v>
      </c>
      <c r="L76" s="263"/>
      <c r="M76" s="280" t="s">
        <v>115</v>
      </c>
      <c r="N76" s="234" t="s">
        <v>361</v>
      </c>
      <c r="O76" s="281">
        <v>44211</v>
      </c>
      <c r="P76" s="275" t="s">
        <v>62</v>
      </c>
      <c r="Q76" s="263" t="s">
        <v>33</v>
      </c>
      <c r="R76" s="233"/>
      <c r="S76" s="282"/>
      <c r="T76" s="265"/>
      <c r="U76" s="265"/>
      <c r="V76" s="266" t="s">
        <v>45</v>
      </c>
      <c r="X76" s="240"/>
      <c r="Y76" s="268"/>
      <c r="Z76" s="240"/>
      <c r="AA76" s="241"/>
    </row>
    <row r="77" spans="1:27" s="267" customFormat="1">
      <c r="A77" s="232">
        <v>69</v>
      </c>
      <c r="B77" s="275" t="s">
        <v>25</v>
      </c>
      <c r="C77" s="275">
        <v>2</v>
      </c>
      <c r="D77" s="276" t="s">
        <v>23</v>
      </c>
      <c r="E77" s="275" t="s">
        <v>26</v>
      </c>
      <c r="F77" s="275">
        <v>59</v>
      </c>
      <c r="G77" s="234" t="s">
        <v>88</v>
      </c>
      <c r="H77" s="277">
        <v>0.9</v>
      </c>
      <c r="I77" s="263">
        <v>10</v>
      </c>
      <c r="J77" s="263">
        <v>1</v>
      </c>
      <c r="K77" s="277">
        <v>0.9</v>
      </c>
      <c r="L77" s="263"/>
      <c r="M77" s="280" t="s">
        <v>115</v>
      </c>
      <c r="N77" s="234" t="s">
        <v>361</v>
      </c>
      <c r="O77" s="281">
        <v>44211</v>
      </c>
      <c r="P77" s="275" t="s">
        <v>62</v>
      </c>
      <c r="Q77" s="263" t="s">
        <v>33</v>
      </c>
      <c r="R77" s="233"/>
      <c r="S77" s="282"/>
      <c r="T77" s="265"/>
      <c r="U77" s="265"/>
      <c r="V77" s="266" t="s">
        <v>45</v>
      </c>
      <c r="X77" s="240"/>
      <c r="Y77" s="268"/>
      <c r="Z77" s="240"/>
      <c r="AA77" s="241"/>
    </row>
    <row r="78" spans="1:27" s="267" customFormat="1">
      <c r="A78" s="232">
        <v>70</v>
      </c>
      <c r="B78" s="275" t="s">
        <v>25</v>
      </c>
      <c r="C78" s="275">
        <v>2</v>
      </c>
      <c r="D78" s="276" t="s">
        <v>23</v>
      </c>
      <c r="E78" s="275" t="s">
        <v>26</v>
      </c>
      <c r="F78" s="275">
        <v>61</v>
      </c>
      <c r="G78" s="234" t="s">
        <v>78</v>
      </c>
      <c r="H78" s="277">
        <v>0.7</v>
      </c>
      <c r="I78" s="263">
        <v>15</v>
      </c>
      <c r="J78" s="263">
        <v>1</v>
      </c>
      <c r="K78" s="277">
        <v>0.7</v>
      </c>
      <c r="L78" s="263"/>
      <c r="M78" s="280" t="s">
        <v>115</v>
      </c>
      <c r="N78" s="234" t="s">
        <v>361</v>
      </c>
      <c r="O78" s="281">
        <v>44211</v>
      </c>
      <c r="P78" s="275" t="s">
        <v>62</v>
      </c>
      <c r="Q78" s="263" t="s">
        <v>33</v>
      </c>
      <c r="R78" s="233"/>
      <c r="S78" s="282"/>
      <c r="T78" s="265"/>
      <c r="U78" s="265"/>
      <c r="V78" s="266" t="s">
        <v>46</v>
      </c>
      <c r="X78" s="240"/>
      <c r="Y78" s="268"/>
      <c r="Z78" s="240"/>
      <c r="AA78" s="241"/>
    </row>
    <row r="79" spans="1:27" s="267" customFormat="1">
      <c r="A79" s="232">
        <v>71</v>
      </c>
      <c r="B79" s="275" t="s">
        <v>25</v>
      </c>
      <c r="C79" s="275">
        <v>2</v>
      </c>
      <c r="D79" s="276" t="s">
        <v>23</v>
      </c>
      <c r="E79" s="275" t="s">
        <v>28</v>
      </c>
      <c r="F79" s="275">
        <v>63</v>
      </c>
      <c r="G79" s="234" t="s">
        <v>85</v>
      </c>
      <c r="H79" s="277">
        <v>0.3</v>
      </c>
      <c r="I79" s="263">
        <v>5</v>
      </c>
      <c r="J79" s="263">
        <v>1</v>
      </c>
      <c r="K79" s="277">
        <v>0.3</v>
      </c>
      <c r="L79" s="263"/>
      <c r="M79" s="280" t="s">
        <v>115</v>
      </c>
      <c r="N79" s="234" t="s">
        <v>361</v>
      </c>
      <c r="O79" s="281">
        <v>44211</v>
      </c>
      <c r="P79" s="275" t="s">
        <v>62</v>
      </c>
      <c r="Q79" s="263" t="s">
        <v>33</v>
      </c>
      <c r="R79" s="233"/>
      <c r="S79" s="282"/>
      <c r="T79" s="265"/>
      <c r="U79" s="265"/>
      <c r="V79" s="266" t="s">
        <v>46</v>
      </c>
      <c r="X79" s="240"/>
      <c r="Y79" s="268"/>
      <c r="Z79" s="240"/>
      <c r="AA79" s="241"/>
    </row>
    <row r="80" spans="1:27" s="267" customFormat="1">
      <c r="A80" s="232">
        <v>72</v>
      </c>
      <c r="B80" s="275" t="s">
        <v>25</v>
      </c>
      <c r="C80" s="275">
        <v>2</v>
      </c>
      <c r="D80" s="276" t="s">
        <v>23</v>
      </c>
      <c r="E80" s="275" t="s">
        <v>26</v>
      </c>
      <c r="F80" s="275">
        <v>98</v>
      </c>
      <c r="G80" s="234" t="s">
        <v>75</v>
      </c>
      <c r="H80" s="277">
        <v>0.2</v>
      </c>
      <c r="I80" s="263">
        <v>6</v>
      </c>
      <c r="J80" s="263">
        <v>2</v>
      </c>
      <c r="K80" s="277">
        <v>0.2</v>
      </c>
      <c r="L80" s="263"/>
      <c r="M80" s="280" t="s">
        <v>115</v>
      </c>
      <c r="N80" s="234" t="s">
        <v>361</v>
      </c>
      <c r="O80" s="281">
        <v>44211</v>
      </c>
      <c r="P80" s="275" t="s">
        <v>62</v>
      </c>
      <c r="Q80" s="263" t="s">
        <v>33</v>
      </c>
      <c r="R80" s="233"/>
      <c r="S80" s="282"/>
      <c r="T80" s="265"/>
      <c r="U80" s="265"/>
      <c r="V80" s="266" t="s">
        <v>46</v>
      </c>
      <c r="X80" s="240"/>
      <c r="Y80" s="268"/>
      <c r="Z80" s="240"/>
      <c r="AA80" s="241"/>
    </row>
    <row r="81" spans="1:27" s="267" customFormat="1">
      <c r="A81" s="232">
        <v>73</v>
      </c>
      <c r="B81" s="275" t="s">
        <v>25</v>
      </c>
      <c r="C81" s="275">
        <v>2</v>
      </c>
      <c r="D81" s="276" t="s">
        <v>23</v>
      </c>
      <c r="E81" s="275" t="s">
        <v>26</v>
      </c>
      <c r="F81" s="275">
        <v>36</v>
      </c>
      <c r="G81" s="234" t="s">
        <v>88</v>
      </c>
      <c r="H81" s="277">
        <v>3</v>
      </c>
      <c r="I81" s="263">
        <v>50</v>
      </c>
      <c r="J81" s="263">
        <v>18</v>
      </c>
      <c r="K81" s="277">
        <v>3</v>
      </c>
      <c r="L81" s="263"/>
      <c r="M81" s="280" t="s">
        <v>115</v>
      </c>
      <c r="N81" s="234" t="s">
        <v>361</v>
      </c>
      <c r="O81" s="281">
        <v>44211</v>
      </c>
      <c r="P81" s="275" t="s">
        <v>62</v>
      </c>
      <c r="Q81" s="263" t="s">
        <v>33</v>
      </c>
      <c r="R81" s="233"/>
      <c r="S81" s="282"/>
      <c r="T81" s="265"/>
      <c r="U81" s="265"/>
      <c r="V81" s="266" t="s">
        <v>46</v>
      </c>
      <c r="X81" s="240"/>
      <c r="Y81" s="268"/>
      <c r="Z81" s="240"/>
      <c r="AA81" s="241"/>
    </row>
    <row r="82" spans="1:27" s="267" customFormat="1">
      <c r="A82" s="232">
        <v>74</v>
      </c>
      <c r="B82" s="275" t="s">
        <v>25</v>
      </c>
      <c r="C82" s="275">
        <v>2</v>
      </c>
      <c r="D82" s="276" t="s">
        <v>24</v>
      </c>
      <c r="E82" s="275" t="s">
        <v>28</v>
      </c>
      <c r="F82" s="275">
        <v>42</v>
      </c>
      <c r="G82" s="234" t="s">
        <v>71</v>
      </c>
      <c r="H82" s="277">
        <v>0.3</v>
      </c>
      <c r="I82" s="263">
        <v>5</v>
      </c>
      <c r="J82" s="263">
        <v>5</v>
      </c>
      <c r="K82" s="277">
        <v>0.3</v>
      </c>
      <c r="L82" s="263"/>
      <c r="M82" s="280" t="s">
        <v>115</v>
      </c>
      <c r="N82" s="234" t="s">
        <v>362</v>
      </c>
      <c r="O82" s="281">
        <v>44201</v>
      </c>
      <c r="P82" s="275" t="s">
        <v>62</v>
      </c>
      <c r="Q82" s="263" t="s">
        <v>33</v>
      </c>
      <c r="R82" s="233"/>
      <c r="S82" s="282"/>
      <c r="T82" s="265"/>
      <c r="U82" s="265"/>
      <c r="V82" s="266" t="s">
        <v>46</v>
      </c>
      <c r="X82" s="240"/>
      <c r="Y82" s="268"/>
      <c r="Z82" s="240"/>
      <c r="AA82" s="241"/>
    </row>
    <row r="83" spans="1:27" s="267" customFormat="1">
      <c r="A83" s="232">
        <v>75</v>
      </c>
      <c r="B83" s="275" t="s">
        <v>25</v>
      </c>
      <c r="C83" s="275">
        <v>2</v>
      </c>
      <c r="D83" s="276" t="s">
        <v>24</v>
      </c>
      <c r="E83" s="275" t="s">
        <v>28</v>
      </c>
      <c r="F83" s="275">
        <v>56</v>
      </c>
      <c r="G83" s="234" t="s">
        <v>67</v>
      </c>
      <c r="H83" s="277">
        <v>1.6</v>
      </c>
      <c r="I83" s="263">
        <v>56</v>
      </c>
      <c r="J83" s="263">
        <v>44</v>
      </c>
      <c r="K83" s="277">
        <v>1.6</v>
      </c>
      <c r="L83" s="263"/>
      <c r="M83" s="280" t="s">
        <v>115</v>
      </c>
      <c r="N83" s="234" t="s">
        <v>362</v>
      </c>
      <c r="O83" s="281">
        <v>44201</v>
      </c>
      <c r="P83" s="275" t="s">
        <v>62</v>
      </c>
      <c r="Q83" s="263" t="s">
        <v>33</v>
      </c>
      <c r="R83" s="233"/>
      <c r="S83" s="282"/>
      <c r="T83" s="265"/>
      <c r="U83" s="265"/>
      <c r="V83" s="266" t="s">
        <v>46</v>
      </c>
      <c r="X83" s="240"/>
      <c r="Y83" s="268"/>
      <c r="Z83" s="240"/>
      <c r="AA83" s="241"/>
    </row>
    <row r="84" spans="1:27" s="267" customFormat="1">
      <c r="A84" s="232">
        <v>76</v>
      </c>
      <c r="B84" s="275" t="s">
        <v>25</v>
      </c>
      <c r="C84" s="275">
        <v>2</v>
      </c>
      <c r="D84" s="276" t="s">
        <v>24</v>
      </c>
      <c r="E84" s="275" t="s">
        <v>26</v>
      </c>
      <c r="F84" s="275">
        <v>60</v>
      </c>
      <c r="G84" s="234" t="s">
        <v>74</v>
      </c>
      <c r="H84" s="277">
        <v>2.8</v>
      </c>
      <c r="I84" s="263">
        <v>121</v>
      </c>
      <c r="J84" s="263">
        <v>110</v>
      </c>
      <c r="K84" s="277">
        <v>2.8</v>
      </c>
      <c r="L84" s="263"/>
      <c r="M84" s="280" t="s">
        <v>115</v>
      </c>
      <c r="N84" s="234" t="s">
        <v>362</v>
      </c>
      <c r="O84" s="281">
        <v>44201</v>
      </c>
      <c r="P84" s="275" t="s">
        <v>62</v>
      </c>
      <c r="Q84" s="263" t="s">
        <v>33</v>
      </c>
      <c r="R84" s="233"/>
      <c r="S84" s="282"/>
      <c r="T84" s="265"/>
      <c r="U84" s="265"/>
      <c r="V84" s="266"/>
      <c r="X84" s="240"/>
      <c r="Y84" s="268"/>
      <c r="Z84" s="240"/>
      <c r="AA84" s="241"/>
    </row>
    <row r="85" spans="1:27" s="267" customFormat="1">
      <c r="A85" s="232">
        <v>77</v>
      </c>
      <c r="B85" s="275" t="s">
        <v>25</v>
      </c>
      <c r="C85" s="275">
        <v>2</v>
      </c>
      <c r="D85" s="276" t="s">
        <v>22</v>
      </c>
      <c r="E85" s="275" t="s">
        <v>26</v>
      </c>
      <c r="F85" s="275">
        <v>80</v>
      </c>
      <c r="G85" s="234" t="s">
        <v>71</v>
      </c>
      <c r="H85" s="277">
        <v>3.4</v>
      </c>
      <c r="I85" s="263">
        <v>138</v>
      </c>
      <c r="J85" s="263">
        <v>123</v>
      </c>
      <c r="K85" s="277">
        <v>3.4</v>
      </c>
      <c r="L85" s="263"/>
      <c r="M85" s="280" t="s">
        <v>115</v>
      </c>
      <c r="N85" s="234" t="s">
        <v>363</v>
      </c>
      <c r="O85" s="281">
        <v>44201</v>
      </c>
      <c r="P85" s="275" t="s">
        <v>62</v>
      </c>
      <c r="Q85" s="263" t="s">
        <v>52</v>
      </c>
      <c r="R85" s="233"/>
      <c r="S85" s="282"/>
      <c r="T85" s="265"/>
      <c r="U85" s="265"/>
      <c r="V85" s="266"/>
      <c r="X85" s="240"/>
      <c r="Y85" s="268"/>
      <c r="Z85" s="240"/>
      <c r="AA85" s="241"/>
    </row>
    <row r="86" spans="1:27" s="267" customFormat="1">
      <c r="A86" s="232">
        <v>78</v>
      </c>
      <c r="B86" s="275" t="s">
        <v>25</v>
      </c>
      <c r="C86" s="275">
        <v>2</v>
      </c>
      <c r="D86" s="276" t="s">
        <v>32</v>
      </c>
      <c r="E86" s="275" t="s">
        <v>26</v>
      </c>
      <c r="F86" s="283">
        <v>39</v>
      </c>
      <c r="G86" s="283">
        <v>8</v>
      </c>
      <c r="H86" s="284">
        <v>12.1</v>
      </c>
      <c r="I86" s="285">
        <v>169</v>
      </c>
      <c r="J86" s="233">
        <v>149</v>
      </c>
      <c r="K86" s="284">
        <v>12.1</v>
      </c>
      <c r="L86" s="263"/>
      <c r="M86" s="280" t="s">
        <v>115</v>
      </c>
      <c r="N86" s="234" t="s">
        <v>364</v>
      </c>
      <c r="O86" s="281">
        <v>44217</v>
      </c>
      <c r="P86" s="275" t="s">
        <v>62</v>
      </c>
      <c r="Q86" s="263" t="s">
        <v>33</v>
      </c>
      <c r="R86" s="233"/>
      <c r="S86" s="282"/>
      <c r="T86" s="265"/>
      <c r="U86" s="265"/>
      <c r="V86" s="266"/>
      <c r="X86" s="240"/>
      <c r="Y86" s="268"/>
      <c r="Z86" s="240"/>
      <c r="AA86" s="241"/>
    </row>
    <row r="87" spans="1:27" s="267" customFormat="1">
      <c r="A87" s="232">
        <v>79</v>
      </c>
      <c r="B87" s="275" t="s">
        <v>25</v>
      </c>
      <c r="C87" s="275">
        <v>2</v>
      </c>
      <c r="D87" s="276" t="s">
        <v>32</v>
      </c>
      <c r="E87" s="275" t="s">
        <v>28</v>
      </c>
      <c r="F87" s="283">
        <v>45</v>
      </c>
      <c r="G87" s="283" t="s">
        <v>71</v>
      </c>
      <c r="H87" s="285">
        <v>1.2</v>
      </c>
      <c r="I87" s="285">
        <v>29</v>
      </c>
      <c r="J87" s="233">
        <v>27</v>
      </c>
      <c r="K87" s="285">
        <v>1.2</v>
      </c>
      <c r="L87" s="263"/>
      <c r="M87" s="280" t="s">
        <v>115</v>
      </c>
      <c r="N87" s="234" t="s">
        <v>364</v>
      </c>
      <c r="O87" s="281">
        <v>44217</v>
      </c>
      <c r="P87" s="275" t="s">
        <v>62</v>
      </c>
      <c r="Q87" s="263" t="s">
        <v>33</v>
      </c>
      <c r="R87" s="233"/>
      <c r="S87" s="282"/>
      <c r="T87" s="265"/>
      <c r="U87" s="265"/>
      <c r="V87" s="266"/>
      <c r="X87" s="240"/>
      <c r="Y87" s="268"/>
      <c r="Z87" s="240"/>
      <c r="AA87" s="241"/>
    </row>
    <row r="88" spans="1:27" s="267" customFormat="1">
      <c r="A88" s="232">
        <v>80</v>
      </c>
      <c r="B88" s="275" t="s">
        <v>25</v>
      </c>
      <c r="C88" s="275">
        <v>2</v>
      </c>
      <c r="D88" s="276" t="s">
        <v>32</v>
      </c>
      <c r="E88" s="275" t="s">
        <v>28</v>
      </c>
      <c r="F88" s="283">
        <v>48</v>
      </c>
      <c r="G88" s="283" t="s">
        <v>69</v>
      </c>
      <c r="H88" s="285">
        <v>0.4</v>
      </c>
      <c r="I88" s="285">
        <v>17</v>
      </c>
      <c r="J88" s="233">
        <v>9</v>
      </c>
      <c r="K88" s="285">
        <v>0.4</v>
      </c>
      <c r="L88" s="263"/>
      <c r="M88" s="280" t="s">
        <v>115</v>
      </c>
      <c r="N88" s="234" t="s">
        <v>364</v>
      </c>
      <c r="O88" s="281">
        <v>44217</v>
      </c>
      <c r="P88" s="275" t="s">
        <v>62</v>
      </c>
      <c r="Q88" s="263" t="s">
        <v>33</v>
      </c>
      <c r="R88" s="233"/>
      <c r="S88" s="282"/>
      <c r="T88" s="265"/>
      <c r="U88" s="265"/>
      <c r="V88" s="266"/>
      <c r="X88" s="240"/>
      <c r="Y88" s="268"/>
      <c r="Z88" s="240"/>
      <c r="AA88" s="241"/>
    </row>
    <row r="89" spans="1:27" s="267" customFormat="1">
      <c r="A89" s="232">
        <v>81</v>
      </c>
      <c r="B89" s="275" t="s">
        <v>25</v>
      </c>
      <c r="C89" s="275">
        <v>2</v>
      </c>
      <c r="D89" s="276" t="s">
        <v>32</v>
      </c>
      <c r="E89" s="275" t="s">
        <v>26</v>
      </c>
      <c r="F89" s="283">
        <v>48</v>
      </c>
      <c r="G89" s="283" t="s">
        <v>72</v>
      </c>
      <c r="H89" s="285">
        <v>22.4</v>
      </c>
      <c r="I89" s="285">
        <v>322</v>
      </c>
      <c r="J89" s="233">
        <v>276</v>
      </c>
      <c r="K89" s="285">
        <v>22.4</v>
      </c>
      <c r="L89" s="263"/>
      <c r="M89" s="280" t="s">
        <v>115</v>
      </c>
      <c r="N89" s="234" t="s">
        <v>364</v>
      </c>
      <c r="O89" s="281">
        <v>44217</v>
      </c>
      <c r="P89" s="275" t="s">
        <v>62</v>
      </c>
      <c r="Q89" s="263" t="s">
        <v>33</v>
      </c>
      <c r="R89" s="233"/>
      <c r="S89" s="282"/>
      <c r="T89" s="265"/>
      <c r="U89" s="265"/>
      <c r="V89" s="266" t="s">
        <v>47</v>
      </c>
      <c r="X89" s="240"/>
      <c r="Y89" s="268"/>
      <c r="Z89" s="240"/>
      <c r="AA89" s="241"/>
    </row>
    <row r="90" spans="1:27" s="267" customFormat="1">
      <c r="A90" s="232">
        <v>82</v>
      </c>
      <c r="B90" s="275" t="s">
        <v>25</v>
      </c>
      <c r="C90" s="275">
        <v>2</v>
      </c>
      <c r="D90" s="276" t="s">
        <v>32</v>
      </c>
      <c r="E90" s="275" t="s">
        <v>26</v>
      </c>
      <c r="F90" s="283">
        <v>52</v>
      </c>
      <c r="G90" s="283" t="s">
        <v>71</v>
      </c>
      <c r="H90" s="285">
        <v>13.2</v>
      </c>
      <c r="I90" s="285">
        <v>333</v>
      </c>
      <c r="J90" s="233">
        <v>309</v>
      </c>
      <c r="K90" s="285">
        <v>13.2</v>
      </c>
      <c r="L90" s="263"/>
      <c r="M90" s="280" t="s">
        <v>115</v>
      </c>
      <c r="N90" s="234" t="s">
        <v>364</v>
      </c>
      <c r="O90" s="281">
        <v>44217</v>
      </c>
      <c r="P90" s="275" t="s">
        <v>62</v>
      </c>
      <c r="Q90" s="263" t="s">
        <v>33</v>
      </c>
      <c r="R90" s="233"/>
      <c r="S90" s="282"/>
      <c r="T90" s="265"/>
      <c r="U90" s="265"/>
      <c r="V90" s="266" t="s">
        <v>47</v>
      </c>
      <c r="X90" s="240"/>
      <c r="Y90" s="268"/>
      <c r="Z90" s="240"/>
      <c r="AA90" s="241"/>
    </row>
    <row r="91" spans="1:27" s="267" customFormat="1">
      <c r="A91" s="232">
        <v>83</v>
      </c>
      <c r="B91" s="275" t="s">
        <v>25</v>
      </c>
      <c r="C91" s="275">
        <v>2</v>
      </c>
      <c r="D91" s="276" t="s">
        <v>32</v>
      </c>
      <c r="E91" s="275" t="s">
        <v>28</v>
      </c>
      <c r="F91" s="283">
        <v>55</v>
      </c>
      <c r="G91" s="283" t="s">
        <v>79</v>
      </c>
      <c r="H91" s="285">
        <v>4.0999999999999996</v>
      </c>
      <c r="I91" s="285">
        <v>71</v>
      </c>
      <c r="J91" s="233">
        <v>59</v>
      </c>
      <c r="K91" s="285">
        <v>4.0999999999999996</v>
      </c>
      <c r="L91" s="263"/>
      <c r="M91" s="280" t="s">
        <v>115</v>
      </c>
      <c r="N91" s="234" t="s">
        <v>364</v>
      </c>
      <c r="O91" s="281">
        <v>44217</v>
      </c>
      <c r="P91" s="275" t="s">
        <v>62</v>
      </c>
      <c r="Q91" s="263" t="s">
        <v>33</v>
      </c>
      <c r="R91" s="233"/>
      <c r="S91" s="282"/>
      <c r="T91" s="265"/>
      <c r="U91" s="265"/>
      <c r="V91" s="266" t="s">
        <v>48</v>
      </c>
      <c r="X91" s="240"/>
      <c r="Y91" s="268"/>
      <c r="Z91" s="240"/>
      <c r="AA91" s="241"/>
    </row>
    <row r="92" spans="1:27" s="267" customFormat="1">
      <c r="A92" s="232">
        <v>84</v>
      </c>
      <c r="B92" s="275" t="s">
        <v>25</v>
      </c>
      <c r="C92" s="275">
        <v>2</v>
      </c>
      <c r="D92" s="276" t="s">
        <v>32</v>
      </c>
      <c r="E92" s="275" t="s">
        <v>29</v>
      </c>
      <c r="F92" s="283">
        <v>55</v>
      </c>
      <c r="G92" s="283" t="s">
        <v>68</v>
      </c>
      <c r="H92" s="285">
        <v>2.2999999999999998</v>
      </c>
      <c r="I92" s="285">
        <v>44</v>
      </c>
      <c r="J92" s="233">
        <v>31</v>
      </c>
      <c r="K92" s="285">
        <v>2.2999999999999998</v>
      </c>
      <c r="L92" s="263"/>
      <c r="M92" s="280" t="s">
        <v>115</v>
      </c>
      <c r="N92" s="234" t="s">
        <v>364</v>
      </c>
      <c r="O92" s="281">
        <v>44217</v>
      </c>
      <c r="P92" s="275" t="s">
        <v>62</v>
      </c>
      <c r="Q92" s="263" t="s">
        <v>33</v>
      </c>
      <c r="R92" s="233"/>
      <c r="S92" s="282"/>
      <c r="T92" s="265"/>
      <c r="U92" s="265"/>
      <c r="V92" s="266" t="s">
        <v>48</v>
      </c>
      <c r="X92" s="240"/>
      <c r="Y92" s="268"/>
      <c r="Z92" s="240"/>
      <c r="AA92" s="241"/>
    </row>
    <row r="93" spans="1:27" s="267" customFormat="1">
      <c r="A93" s="232">
        <v>85</v>
      </c>
      <c r="B93" s="275" t="s">
        <v>25</v>
      </c>
      <c r="C93" s="275">
        <v>2</v>
      </c>
      <c r="D93" s="276" t="s">
        <v>32</v>
      </c>
      <c r="E93" s="275" t="s">
        <v>26</v>
      </c>
      <c r="F93" s="283">
        <v>56</v>
      </c>
      <c r="G93" s="283" t="s">
        <v>69</v>
      </c>
      <c r="H93" s="285">
        <v>1.8</v>
      </c>
      <c r="I93" s="285">
        <v>24</v>
      </c>
      <c r="J93" s="233">
        <v>22</v>
      </c>
      <c r="K93" s="285">
        <v>1.8</v>
      </c>
      <c r="L93" s="263"/>
      <c r="M93" s="280" t="s">
        <v>115</v>
      </c>
      <c r="N93" s="234" t="s">
        <v>364</v>
      </c>
      <c r="O93" s="281">
        <v>44217</v>
      </c>
      <c r="P93" s="275" t="s">
        <v>62</v>
      </c>
      <c r="Q93" s="263" t="s">
        <v>33</v>
      </c>
      <c r="R93" s="233"/>
      <c r="S93" s="282"/>
      <c r="T93" s="265"/>
      <c r="U93" s="265"/>
      <c r="V93" s="266" t="s">
        <v>47</v>
      </c>
      <c r="X93" s="240"/>
      <c r="Y93" s="268"/>
      <c r="Z93" s="240"/>
      <c r="AA93" s="241"/>
    </row>
    <row r="94" spans="1:27" s="267" customFormat="1">
      <c r="A94" s="232">
        <v>86</v>
      </c>
      <c r="B94" s="275" t="s">
        <v>25</v>
      </c>
      <c r="C94" s="275">
        <v>2</v>
      </c>
      <c r="D94" s="276" t="s">
        <v>32</v>
      </c>
      <c r="E94" s="275" t="s">
        <v>26</v>
      </c>
      <c r="F94" s="283">
        <v>57</v>
      </c>
      <c r="G94" s="283" t="s">
        <v>88</v>
      </c>
      <c r="H94" s="285">
        <v>1.1000000000000001</v>
      </c>
      <c r="I94" s="285">
        <v>10</v>
      </c>
      <c r="J94" s="233">
        <v>8</v>
      </c>
      <c r="K94" s="285">
        <v>1.1000000000000001</v>
      </c>
      <c r="L94" s="263"/>
      <c r="M94" s="280" t="s">
        <v>115</v>
      </c>
      <c r="N94" s="234" t="s">
        <v>364</v>
      </c>
      <c r="O94" s="281">
        <v>44217</v>
      </c>
      <c r="P94" s="275" t="s">
        <v>62</v>
      </c>
      <c r="Q94" s="263" t="s">
        <v>33</v>
      </c>
      <c r="R94" s="233"/>
      <c r="S94" s="282"/>
      <c r="T94" s="265"/>
      <c r="U94" s="265"/>
      <c r="V94" s="266" t="s">
        <v>48</v>
      </c>
      <c r="X94" s="240"/>
      <c r="Y94" s="268"/>
      <c r="Z94" s="240"/>
      <c r="AA94" s="241"/>
    </row>
    <row r="95" spans="1:27" s="267" customFormat="1">
      <c r="A95" s="232">
        <v>87</v>
      </c>
      <c r="B95" s="275" t="s">
        <v>25</v>
      </c>
      <c r="C95" s="275">
        <v>2</v>
      </c>
      <c r="D95" s="276" t="s">
        <v>32</v>
      </c>
      <c r="E95" s="275" t="s">
        <v>29</v>
      </c>
      <c r="F95" s="283">
        <v>57</v>
      </c>
      <c r="G95" s="283" t="s">
        <v>86</v>
      </c>
      <c r="H95" s="284">
        <v>1</v>
      </c>
      <c r="I95" s="285">
        <v>19</v>
      </c>
      <c r="J95" s="233">
        <v>12</v>
      </c>
      <c r="K95" s="284">
        <v>1</v>
      </c>
      <c r="L95" s="263"/>
      <c r="M95" s="280" t="s">
        <v>115</v>
      </c>
      <c r="N95" s="234" t="s">
        <v>364</v>
      </c>
      <c r="O95" s="281">
        <v>44217</v>
      </c>
      <c r="P95" s="275" t="s">
        <v>62</v>
      </c>
      <c r="Q95" s="263" t="s">
        <v>33</v>
      </c>
      <c r="R95" s="233"/>
      <c r="S95" s="282"/>
      <c r="T95" s="265"/>
      <c r="U95" s="265"/>
      <c r="V95" s="266" t="s">
        <v>48</v>
      </c>
      <c r="X95" s="240"/>
      <c r="Y95" s="268"/>
      <c r="Z95" s="240"/>
      <c r="AA95" s="241"/>
    </row>
    <row r="96" spans="1:27" s="267" customFormat="1">
      <c r="A96" s="232">
        <v>88</v>
      </c>
      <c r="B96" s="275" t="s">
        <v>25</v>
      </c>
      <c r="C96" s="275">
        <v>2</v>
      </c>
      <c r="D96" s="276" t="s">
        <v>32</v>
      </c>
      <c r="E96" s="275" t="s">
        <v>26</v>
      </c>
      <c r="F96" s="283">
        <v>58</v>
      </c>
      <c r="G96" s="283" t="s">
        <v>79</v>
      </c>
      <c r="H96" s="285">
        <v>1.7</v>
      </c>
      <c r="I96" s="285">
        <v>48</v>
      </c>
      <c r="J96" s="233">
        <v>29</v>
      </c>
      <c r="K96" s="285">
        <v>1.7</v>
      </c>
      <c r="L96" s="286"/>
      <c r="M96" s="280" t="s">
        <v>115</v>
      </c>
      <c r="N96" s="234" t="s">
        <v>364</v>
      </c>
      <c r="O96" s="281">
        <v>44217</v>
      </c>
      <c r="P96" s="275" t="s">
        <v>62</v>
      </c>
      <c r="Q96" s="263" t="s">
        <v>33</v>
      </c>
      <c r="R96" s="233"/>
      <c r="S96" s="282"/>
      <c r="T96" s="265"/>
      <c r="U96" s="265"/>
      <c r="V96" s="266"/>
      <c r="X96" s="240"/>
      <c r="Y96" s="268"/>
      <c r="Z96" s="240"/>
      <c r="AA96" s="241"/>
    </row>
    <row r="97" spans="1:27" s="267" customFormat="1">
      <c r="A97" s="232">
        <v>89</v>
      </c>
      <c r="B97" s="275" t="s">
        <v>25</v>
      </c>
      <c r="C97" s="275">
        <v>2</v>
      </c>
      <c r="D97" s="276" t="s">
        <v>32</v>
      </c>
      <c r="E97" s="275" t="s">
        <v>26</v>
      </c>
      <c r="F97" s="283">
        <v>69</v>
      </c>
      <c r="G97" s="283" t="s">
        <v>67</v>
      </c>
      <c r="H97" s="284">
        <v>4.0999999999999996</v>
      </c>
      <c r="I97" s="285">
        <v>128</v>
      </c>
      <c r="J97" s="233">
        <v>91</v>
      </c>
      <c r="K97" s="284">
        <v>4.0999999999999996</v>
      </c>
      <c r="L97" s="286"/>
      <c r="M97" s="280" t="s">
        <v>115</v>
      </c>
      <c r="N97" s="234" t="s">
        <v>364</v>
      </c>
      <c r="O97" s="281">
        <v>44217</v>
      </c>
      <c r="P97" s="275" t="s">
        <v>62</v>
      </c>
      <c r="Q97" s="263" t="s">
        <v>33</v>
      </c>
      <c r="R97" s="233"/>
      <c r="S97" s="282"/>
      <c r="T97" s="265"/>
      <c r="U97" s="265"/>
      <c r="V97" s="266"/>
      <c r="X97" s="240"/>
      <c r="Y97" s="268"/>
      <c r="Z97" s="240"/>
      <c r="AA97" s="241"/>
    </row>
    <row r="98" spans="1:27" s="267" customFormat="1">
      <c r="A98" s="232">
        <v>90</v>
      </c>
      <c r="B98" s="275" t="s">
        <v>25</v>
      </c>
      <c r="C98" s="275">
        <v>2</v>
      </c>
      <c r="D98" s="276" t="s">
        <v>32</v>
      </c>
      <c r="E98" s="275" t="s">
        <v>26</v>
      </c>
      <c r="F98" s="283">
        <v>69</v>
      </c>
      <c r="G98" s="283" t="s">
        <v>74</v>
      </c>
      <c r="H98" s="284">
        <v>1.6</v>
      </c>
      <c r="I98" s="285">
        <v>29</v>
      </c>
      <c r="J98" s="233">
        <v>23</v>
      </c>
      <c r="K98" s="284">
        <v>1.6</v>
      </c>
      <c r="L98" s="286"/>
      <c r="M98" s="280" t="s">
        <v>115</v>
      </c>
      <c r="N98" s="234" t="s">
        <v>364</v>
      </c>
      <c r="O98" s="281">
        <v>44217</v>
      </c>
      <c r="P98" s="275" t="s">
        <v>62</v>
      </c>
      <c r="Q98" s="263" t="s">
        <v>33</v>
      </c>
      <c r="R98" s="233"/>
      <c r="S98" s="282"/>
      <c r="T98" s="265"/>
      <c r="U98" s="265"/>
      <c r="V98" s="266"/>
      <c r="X98" s="240"/>
      <c r="Y98" s="268"/>
      <c r="Z98" s="240"/>
      <c r="AA98" s="241"/>
    </row>
    <row r="99" spans="1:27" s="267" customFormat="1">
      <c r="A99" s="232">
        <v>91</v>
      </c>
      <c r="B99" s="275" t="s">
        <v>25</v>
      </c>
      <c r="C99" s="275">
        <v>2</v>
      </c>
      <c r="D99" s="276" t="s">
        <v>32</v>
      </c>
      <c r="E99" s="275" t="s">
        <v>28</v>
      </c>
      <c r="F99" s="283">
        <v>69</v>
      </c>
      <c r="G99" s="283" t="s">
        <v>79</v>
      </c>
      <c r="H99" s="285">
        <v>0.4</v>
      </c>
      <c r="I99" s="285">
        <v>15</v>
      </c>
      <c r="J99" s="233">
        <v>12</v>
      </c>
      <c r="K99" s="285">
        <v>0.4</v>
      </c>
      <c r="L99" s="286"/>
      <c r="M99" s="280" t="s">
        <v>115</v>
      </c>
      <c r="N99" s="234" t="s">
        <v>364</v>
      </c>
      <c r="O99" s="281">
        <v>44217</v>
      </c>
      <c r="P99" s="275" t="s">
        <v>62</v>
      </c>
      <c r="Q99" s="263" t="s">
        <v>33</v>
      </c>
      <c r="R99" s="233"/>
      <c r="S99" s="282"/>
      <c r="T99" s="265"/>
      <c r="U99" s="265"/>
      <c r="V99" s="266"/>
      <c r="X99" s="240"/>
      <c r="Y99" s="268"/>
      <c r="Z99" s="240"/>
      <c r="AA99" s="241"/>
    </row>
    <row r="100" spans="1:27" s="267" customFormat="1">
      <c r="A100" s="232">
        <v>92</v>
      </c>
      <c r="B100" s="275" t="s">
        <v>25</v>
      </c>
      <c r="C100" s="275">
        <v>2</v>
      </c>
      <c r="D100" s="276" t="s">
        <v>32</v>
      </c>
      <c r="E100" s="275" t="s">
        <v>26</v>
      </c>
      <c r="F100" s="283">
        <v>70</v>
      </c>
      <c r="G100" s="283" t="s">
        <v>71</v>
      </c>
      <c r="H100" s="284">
        <v>8.8000000000000007</v>
      </c>
      <c r="I100" s="285">
        <v>150</v>
      </c>
      <c r="J100" s="233">
        <v>140</v>
      </c>
      <c r="K100" s="284">
        <v>8.8000000000000007</v>
      </c>
      <c r="L100" s="286"/>
      <c r="M100" s="280" t="s">
        <v>115</v>
      </c>
      <c r="N100" s="234" t="s">
        <v>364</v>
      </c>
      <c r="O100" s="281">
        <v>44217</v>
      </c>
      <c r="P100" s="275" t="s">
        <v>62</v>
      </c>
      <c r="Q100" s="263" t="s">
        <v>33</v>
      </c>
      <c r="R100" s="233"/>
      <c r="S100" s="282"/>
      <c r="T100" s="265"/>
      <c r="U100" s="265"/>
      <c r="V100" s="266"/>
      <c r="X100" s="240"/>
      <c r="Y100" s="268"/>
      <c r="Z100" s="240"/>
      <c r="AA100" s="241"/>
    </row>
    <row r="101" spans="1:27" s="267" customFormat="1">
      <c r="A101" s="232">
        <v>93</v>
      </c>
      <c r="B101" s="275" t="s">
        <v>25</v>
      </c>
      <c r="C101" s="275">
        <v>2</v>
      </c>
      <c r="D101" s="276" t="s">
        <v>125</v>
      </c>
      <c r="E101" s="275" t="s">
        <v>28</v>
      </c>
      <c r="F101" s="275">
        <v>45</v>
      </c>
      <c r="G101" s="234" t="s">
        <v>77</v>
      </c>
      <c r="H101" s="277">
        <v>1</v>
      </c>
      <c r="I101" s="263">
        <v>13</v>
      </c>
      <c r="J101" s="263">
        <v>9</v>
      </c>
      <c r="K101" s="277"/>
      <c r="L101" s="277">
        <v>1</v>
      </c>
      <c r="M101" s="280" t="s">
        <v>115</v>
      </c>
      <c r="N101" s="234" t="s">
        <v>367</v>
      </c>
      <c r="O101" s="281">
        <v>44217</v>
      </c>
      <c r="P101" s="275" t="s">
        <v>62</v>
      </c>
      <c r="Q101" s="263" t="s">
        <v>33</v>
      </c>
      <c r="R101" s="233"/>
      <c r="S101" s="282"/>
      <c r="T101" s="265"/>
      <c r="U101" s="265"/>
      <c r="V101" s="266"/>
      <c r="X101" s="240"/>
      <c r="Y101" s="268"/>
      <c r="Z101" s="240"/>
      <c r="AA101" s="241"/>
    </row>
    <row r="102" spans="1:27" s="267" customFormat="1">
      <c r="A102" s="232">
        <v>94</v>
      </c>
      <c r="B102" s="275" t="s">
        <v>25</v>
      </c>
      <c r="C102" s="275">
        <v>2</v>
      </c>
      <c r="D102" s="276" t="s">
        <v>125</v>
      </c>
      <c r="E102" s="275" t="s">
        <v>28</v>
      </c>
      <c r="F102" s="275">
        <v>45</v>
      </c>
      <c r="G102" s="234" t="s">
        <v>72</v>
      </c>
      <c r="H102" s="277">
        <v>2.2000000000000002</v>
      </c>
      <c r="I102" s="263">
        <v>12</v>
      </c>
      <c r="J102" s="263">
        <v>10</v>
      </c>
      <c r="K102" s="277"/>
      <c r="L102" s="277">
        <v>2.2000000000000002</v>
      </c>
      <c r="M102" s="280" t="s">
        <v>115</v>
      </c>
      <c r="N102" s="234" t="s">
        <v>367</v>
      </c>
      <c r="O102" s="281">
        <v>44217</v>
      </c>
      <c r="P102" s="275" t="s">
        <v>62</v>
      </c>
      <c r="Q102" s="263" t="s">
        <v>33</v>
      </c>
      <c r="R102" s="233"/>
      <c r="S102" s="282"/>
      <c r="T102" s="265"/>
      <c r="U102" s="265"/>
      <c r="V102" s="266"/>
      <c r="X102" s="240"/>
      <c r="Y102" s="268"/>
      <c r="Z102" s="240"/>
      <c r="AA102" s="241"/>
    </row>
    <row r="103" spans="1:27" s="267" customFormat="1">
      <c r="A103" s="232">
        <v>95</v>
      </c>
      <c r="B103" s="275" t="s">
        <v>25</v>
      </c>
      <c r="C103" s="275">
        <v>2</v>
      </c>
      <c r="D103" s="276" t="s">
        <v>125</v>
      </c>
      <c r="E103" s="275" t="s">
        <v>26</v>
      </c>
      <c r="F103" s="275">
        <v>70</v>
      </c>
      <c r="G103" s="234" t="s">
        <v>67</v>
      </c>
      <c r="H103" s="277">
        <v>1.2</v>
      </c>
      <c r="I103" s="263">
        <v>10</v>
      </c>
      <c r="J103" s="263">
        <v>9</v>
      </c>
      <c r="K103" s="277"/>
      <c r="L103" s="277">
        <v>1.2</v>
      </c>
      <c r="M103" s="280" t="s">
        <v>115</v>
      </c>
      <c r="N103" s="234" t="s">
        <v>367</v>
      </c>
      <c r="O103" s="281">
        <v>44217</v>
      </c>
      <c r="P103" s="275" t="s">
        <v>62</v>
      </c>
      <c r="Q103" s="263" t="s">
        <v>33</v>
      </c>
      <c r="R103" s="233"/>
      <c r="S103" s="282"/>
      <c r="T103" s="265"/>
      <c r="U103" s="265"/>
      <c r="V103" s="266"/>
      <c r="X103" s="240"/>
      <c r="Y103" s="268"/>
      <c r="Z103" s="240"/>
      <c r="AA103" s="241"/>
    </row>
    <row r="104" spans="1:27" s="267" customFormat="1">
      <c r="A104" s="232">
        <v>96</v>
      </c>
      <c r="B104" s="275" t="s">
        <v>25</v>
      </c>
      <c r="C104" s="275">
        <v>2</v>
      </c>
      <c r="D104" s="276" t="s">
        <v>125</v>
      </c>
      <c r="E104" s="275" t="s">
        <v>26</v>
      </c>
      <c r="F104" s="275">
        <v>53</v>
      </c>
      <c r="G104" s="234" t="s">
        <v>85</v>
      </c>
      <c r="H104" s="277">
        <v>0.8</v>
      </c>
      <c r="I104" s="263">
        <v>15</v>
      </c>
      <c r="J104" s="263">
        <v>14</v>
      </c>
      <c r="K104" s="277"/>
      <c r="L104" s="277">
        <v>0.8</v>
      </c>
      <c r="M104" s="280" t="s">
        <v>115</v>
      </c>
      <c r="N104" s="234" t="s">
        <v>367</v>
      </c>
      <c r="O104" s="281">
        <v>44217</v>
      </c>
      <c r="P104" s="275" t="s">
        <v>62</v>
      </c>
      <c r="Q104" s="263" t="s">
        <v>33</v>
      </c>
      <c r="R104" s="233"/>
      <c r="S104" s="282"/>
      <c r="T104" s="265"/>
      <c r="U104" s="265"/>
      <c r="V104" s="266"/>
      <c r="X104" s="240"/>
      <c r="Y104" s="268"/>
      <c r="Z104" s="240"/>
      <c r="AA104" s="241"/>
    </row>
    <row r="105" spans="1:27" s="267" customFormat="1">
      <c r="A105" s="232">
        <v>97</v>
      </c>
      <c r="B105" s="275" t="s">
        <v>25</v>
      </c>
      <c r="C105" s="275">
        <v>2</v>
      </c>
      <c r="D105" s="276" t="s">
        <v>125</v>
      </c>
      <c r="E105" s="275" t="s">
        <v>26</v>
      </c>
      <c r="F105" s="275">
        <v>54</v>
      </c>
      <c r="G105" s="234" t="s">
        <v>77</v>
      </c>
      <c r="H105" s="277">
        <v>1.3</v>
      </c>
      <c r="I105" s="263">
        <v>23</v>
      </c>
      <c r="J105" s="263">
        <v>22</v>
      </c>
      <c r="K105" s="277"/>
      <c r="L105" s="277">
        <v>1.3</v>
      </c>
      <c r="M105" s="280" t="s">
        <v>115</v>
      </c>
      <c r="N105" s="234" t="s">
        <v>367</v>
      </c>
      <c r="O105" s="281">
        <v>44217</v>
      </c>
      <c r="P105" s="275" t="s">
        <v>62</v>
      </c>
      <c r="Q105" s="263" t="s">
        <v>33</v>
      </c>
      <c r="R105" s="233"/>
      <c r="S105" s="282"/>
      <c r="T105" s="265"/>
      <c r="U105" s="265"/>
      <c r="V105" s="266"/>
      <c r="X105" s="240"/>
      <c r="Y105" s="268"/>
      <c r="Z105" s="240"/>
      <c r="AA105" s="241"/>
    </row>
    <row r="106" spans="1:27" s="267" customFormat="1">
      <c r="A106" s="232">
        <v>98</v>
      </c>
      <c r="B106" s="275" t="s">
        <v>25</v>
      </c>
      <c r="C106" s="275">
        <v>3</v>
      </c>
      <c r="D106" s="276" t="s">
        <v>125</v>
      </c>
      <c r="E106" s="275" t="s">
        <v>26</v>
      </c>
      <c r="F106" s="275">
        <v>53</v>
      </c>
      <c r="G106" s="234" t="s">
        <v>79</v>
      </c>
      <c r="H106" s="277">
        <v>0.9</v>
      </c>
      <c r="I106" s="263">
        <v>14</v>
      </c>
      <c r="J106" s="263">
        <v>13</v>
      </c>
      <c r="K106" s="277"/>
      <c r="L106" s="277">
        <v>0.9</v>
      </c>
      <c r="M106" s="280" t="s">
        <v>115</v>
      </c>
      <c r="N106" s="234" t="s">
        <v>480</v>
      </c>
      <c r="O106" s="281">
        <v>44295</v>
      </c>
      <c r="P106" s="275" t="s">
        <v>62</v>
      </c>
      <c r="Q106" s="263" t="s">
        <v>33</v>
      </c>
      <c r="R106" s="233"/>
      <c r="S106" s="282"/>
      <c r="T106" s="265"/>
      <c r="U106" s="265"/>
      <c r="V106" s="266"/>
      <c r="X106" s="240"/>
      <c r="Y106" s="268"/>
      <c r="Z106" s="240"/>
      <c r="AA106" s="241"/>
    </row>
    <row r="107" spans="1:27" s="267" customFormat="1">
      <c r="A107" s="232">
        <v>99</v>
      </c>
      <c r="B107" s="275" t="s">
        <v>25</v>
      </c>
      <c r="C107" s="275">
        <v>4</v>
      </c>
      <c r="D107" s="276" t="s">
        <v>125</v>
      </c>
      <c r="E107" s="275" t="s">
        <v>26</v>
      </c>
      <c r="F107" s="275">
        <v>54</v>
      </c>
      <c r="G107" s="234" t="s">
        <v>89</v>
      </c>
      <c r="H107" s="277">
        <v>0.5</v>
      </c>
      <c r="I107" s="263">
        <v>9</v>
      </c>
      <c r="J107" s="263">
        <v>8</v>
      </c>
      <c r="K107" s="277"/>
      <c r="L107" s="277">
        <v>0.5</v>
      </c>
      <c r="M107" s="280" t="s">
        <v>115</v>
      </c>
      <c r="N107" s="234" t="s">
        <v>480</v>
      </c>
      <c r="O107" s="281">
        <v>44295</v>
      </c>
      <c r="P107" s="275" t="s">
        <v>62</v>
      </c>
      <c r="Q107" s="263" t="s">
        <v>33</v>
      </c>
      <c r="R107" s="233"/>
      <c r="S107" s="282"/>
      <c r="T107" s="265"/>
      <c r="U107" s="265"/>
      <c r="V107" s="266"/>
      <c r="X107" s="240"/>
      <c r="Y107" s="268"/>
      <c r="Z107" s="240"/>
      <c r="AA107" s="241"/>
    </row>
    <row r="108" spans="1:27" s="267" customFormat="1">
      <c r="A108" s="232">
        <v>100</v>
      </c>
      <c r="B108" s="275" t="s">
        <v>25</v>
      </c>
      <c r="C108" s="275">
        <v>5</v>
      </c>
      <c r="D108" s="276" t="s">
        <v>125</v>
      </c>
      <c r="E108" s="275" t="s">
        <v>26</v>
      </c>
      <c r="F108" s="275">
        <v>54</v>
      </c>
      <c r="G108" s="234" t="s">
        <v>479</v>
      </c>
      <c r="H108" s="277">
        <v>1</v>
      </c>
      <c r="I108" s="263">
        <v>11</v>
      </c>
      <c r="J108" s="263">
        <v>10</v>
      </c>
      <c r="K108" s="277"/>
      <c r="L108" s="277">
        <v>1</v>
      </c>
      <c r="M108" s="280" t="s">
        <v>115</v>
      </c>
      <c r="N108" s="234" t="s">
        <v>480</v>
      </c>
      <c r="O108" s="281">
        <v>44295</v>
      </c>
      <c r="P108" s="275" t="s">
        <v>62</v>
      </c>
      <c r="Q108" s="263" t="s">
        <v>33</v>
      </c>
      <c r="R108" s="233"/>
      <c r="S108" s="282"/>
      <c r="T108" s="265"/>
      <c r="U108" s="265"/>
      <c r="V108" s="266"/>
      <c r="X108" s="240"/>
      <c r="Y108" s="268"/>
      <c r="Z108" s="240"/>
      <c r="AA108" s="241"/>
    </row>
    <row r="109" spans="1:27" s="267" customFormat="1">
      <c r="A109" s="232">
        <v>101</v>
      </c>
      <c r="B109" s="275" t="s">
        <v>25</v>
      </c>
      <c r="C109" s="275">
        <v>6</v>
      </c>
      <c r="D109" s="276" t="s">
        <v>125</v>
      </c>
      <c r="E109" s="275" t="s">
        <v>26</v>
      </c>
      <c r="F109" s="275">
        <v>102</v>
      </c>
      <c r="G109" s="234" t="s">
        <v>71</v>
      </c>
      <c r="H109" s="277">
        <v>1</v>
      </c>
      <c r="I109" s="263">
        <v>20</v>
      </c>
      <c r="J109" s="263">
        <v>19</v>
      </c>
      <c r="K109" s="277"/>
      <c r="L109" s="277">
        <v>1</v>
      </c>
      <c r="M109" s="280" t="s">
        <v>115</v>
      </c>
      <c r="N109" s="234" t="s">
        <v>480</v>
      </c>
      <c r="O109" s="281">
        <v>44295</v>
      </c>
      <c r="P109" s="275" t="s">
        <v>62</v>
      </c>
      <c r="Q109" s="263" t="s">
        <v>33</v>
      </c>
      <c r="R109" s="233"/>
      <c r="S109" s="282"/>
      <c r="T109" s="265"/>
      <c r="U109" s="265"/>
      <c r="V109" s="266"/>
      <c r="X109" s="240"/>
      <c r="Y109" s="268"/>
      <c r="Z109" s="240"/>
      <c r="AA109" s="241"/>
    </row>
    <row r="110" spans="1:27" s="267" customFormat="1">
      <c r="A110" s="232">
        <v>102</v>
      </c>
      <c r="B110" s="275" t="s">
        <v>25</v>
      </c>
      <c r="C110" s="275">
        <v>7</v>
      </c>
      <c r="D110" s="276" t="s">
        <v>125</v>
      </c>
      <c r="E110" s="275" t="s">
        <v>26</v>
      </c>
      <c r="F110" s="275">
        <v>102</v>
      </c>
      <c r="G110" s="234" t="s">
        <v>69</v>
      </c>
      <c r="H110" s="277">
        <v>0.9</v>
      </c>
      <c r="I110" s="263">
        <v>3</v>
      </c>
      <c r="J110" s="263">
        <v>3</v>
      </c>
      <c r="K110" s="277"/>
      <c r="L110" s="277">
        <v>0.9</v>
      </c>
      <c r="M110" s="280" t="s">
        <v>115</v>
      </c>
      <c r="N110" s="234" t="s">
        <v>480</v>
      </c>
      <c r="O110" s="281">
        <v>44295</v>
      </c>
      <c r="P110" s="275" t="s">
        <v>62</v>
      </c>
      <c r="Q110" s="263" t="s">
        <v>33</v>
      </c>
      <c r="R110" s="233"/>
      <c r="S110" s="282"/>
      <c r="T110" s="265"/>
      <c r="U110" s="265"/>
      <c r="V110" s="266"/>
      <c r="X110" s="240"/>
      <c r="Y110" s="268"/>
      <c r="Z110" s="240"/>
      <c r="AA110" s="241"/>
    </row>
    <row r="111" spans="1:27" s="267" customFormat="1">
      <c r="A111" s="232">
        <v>103</v>
      </c>
      <c r="B111" s="275" t="s">
        <v>25</v>
      </c>
      <c r="C111" s="275">
        <v>8</v>
      </c>
      <c r="D111" s="276" t="s">
        <v>125</v>
      </c>
      <c r="E111" s="275" t="s">
        <v>26</v>
      </c>
      <c r="F111" s="275">
        <v>102</v>
      </c>
      <c r="G111" s="234" t="s">
        <v>67</v>
      </c>
      <c r="H111" s="277">
        <v>0.3</v>
      </c>
      <c r="I111" s="263">
        <v>3</v>
      </c>
      <c r="J111" s="263">
        <v>3</v>
      </c>
      <c r="K111" s="277"/>
      <c r="L111" s="277">
        <v>0.3</v>
      </c>
      <c r="M111" s="280" t="s">
        <v>115</v>
      </c>
      <c r="N111" s="234" t="s">
        <v>480</v>
      </c>
      <c r="O111" s="281">
        <v>44295</v>
      </c>
      <c r="P111" s="275" t="s">
        <v>62</v>
      </c>
      <c r="Q111" s="263" t="s">
        <v>33</v>
      </c>
      <c r="R111" s="233"/>
      <c r="S111" s="282"/>
      <c r="T111" s="265"/>
      <c r="U111" s="265"/>
      <c r="V111" s="266"/>
      <c r="X111" s="240"/>
      <c r="Y111" s="268"/>
      <c r="Z111" s="240"/>
      <c r="AA111" s="241"/>
    </row>
    <row r="112" spans="1:27" s="267" customFormat="1">
      <c r="A112" s="232">
        <v>104</v>
      </c>
      <c r="B112" s="275" t="s">
        <v>6</v>
      </c>
      <c r="C112" s="275">
        <v>4</v>
      </c>
      <c r="D112" s="276" t="s">
        <v>31</v>
      </c>
      <c r="E112" s="275" t="s">
        <v>26</v>
      </c>
      <c r="F112" s="275">
        <v>19</v>
      </c>
      <c r="G112" s="234" t="s">
        <v>68</v>
      </c>
      <c r="H112" s="277">
        <v>3.2</v>
      </c>
      <c r="I112" s="263">
        <v>20</v>
      </c>
      <c r="J112" s="263"/>
      <c r="K112" s="277">
        <v>3.2</v>
      </c>
      <c r="L112" s="263"/>
      <c r="M112" s="280" t="s">
        <v>115</v>
      </c>
      <c r="N112" s="234" t="s">
        <v>368</v>
      </c>
      <c r="O112" s="281">
        <v>44211</v>
      </c>
      <c r="P112" s="275" t="s">
        <v>62</v>
      </c>
      <c r="Q112" s="263" t="s">
        <v>33</v>
      </c>
      <c r="R112" s="233"/>
      <c r="S112" s="282"/>
      <c r="T112" s="265"/>
      <c r="U112" s="265"/>
      <c r="V112" s="266" t="s">
        <v>49</v>
      </c>
      <c r="X112" s="240"/>
      <c r="Y112" s="268"/>
      <c r="Z112" s="240"/>
      <c r="AA112" s="241"/>
    </row>
    <row r="113" spans="1:27" s="267" customFormat="1">
      <c r="A113" s="232">
        <v>105</v>
      </c>
      <c r="B113" s="275" t="s">
        <v>6</v>
      </c>
      <c r="C113" s="275">
        <v>4</v>
      </c>
      <c r="D113" s="276" t="s">
        <v>31</v>
      </c>
      <c r="E113" s="275" t="s">
        <v>26</v>
      </c>
      <c r="F113" s="275">
        <v>20</v>
      </c>
      <c r="G113" s="234" t="s">
        <v>89</v>
      </c>
      <c r="H113" s="277">
        <v>4.7</v>
      </c>
      <c r="I113" s="263">
        <v>39</v>
      </c>
      <c r="J113" s="263"/>
      <c r="K113" s="277">
        <v>4.7</v>
      </c>
      <c r="L113" s="263"/>
      <c r="M113" s="280" t="s">
        <v>115</v>
      </c>
      <c r="N113" s="234" t="s">
        <v>368</v>
      </c>
      <c r="O113" s="281">
        <v>44211</v>
      </c>
      <c r="P113" s="275" t="s">
        <v>62</v>
      </c>
      <c r="Q113" s="263" t="s">
        <v>33</v>
      </c>
      <c r="R113" s="233"/>
      <c r="S113" s="282"/>
      <c r="T113" s="265"/>
      <c r="U113" s="265"/>
      <c r="V113" s="266" t="s">
        <v>49</v>
      </c>
      <c r="X113" s="240"/>
      <c r="Y113" s="268"/>
      <c r="Z113" s="240"/>
      <c r="AA113" s="241"/>
    </row>
    <row r="114" spans="1:27" s="267" customFormat="1">
      <c r="A114" s="232">
        <v>106</v>
      </c>
      <c r="B114" s="275" t="s">
        <v>6</v>
      </c>
      <c r="C114" s="275">
        <v>4</v>
      </c>
      <c r="D114" s="276" t="s">
        <v>31</v>
      </c>
      <c r="E114" s="275" t="s">
        <v>26</v>
      </c>
      <c r="F114" s="275">
        <v>28</v>
      </c>
      <c r="G114" s="234" t="s">
        <v>71</v>
      </c>
      <c r="H114" s="277">
        <v>2.6</v>
      </c>
      <c r="I114" s="263">
        <v>20</v>
      </c>
      <c r="J114" s="263"/>
      <c r="K114" s="277">
        <v>2.6</v>
      </c>
      <c r="L114" s="263"/>
      <c r="M114" s="280" t="s">
        <v>115</v>
      </c>
      <c r="N114" s="234" t="s">
        <v>368</v>
      </c>
      <c r="O114" s="281">
        <v>44211</v>
      </c>
      <c r="P114" s="275" t="s">
        <v>62</v>
      </c>
      <c r="Q114" s="263" t="s">
        <v>33</v>
      </c>
      <c r="R114" s="233"/>
      <c r="S114" s="282"/>
      <c r="T114" s="265"/>
      <c r="U114" s="265"/>
      <c r="V114" s="266" t="s">
        <v>49</v>
      </c>
      <c r="X114" s="240"/>
      <c r="Y114" s="268"/>
      <c r="Z114" s="240"/>
      <c r="AA114" s="241"/>
    </row>
    <row r="115" spans="1:27" s="267" customFormat="1">
      <c r="A115" s="232">
        <v>107</v>
      </c>
      <c r="B115" s="275" t="s">
        <v>6</v>
      </c>
      <c r="C115" s="275">
        <v>4</v>
      </c>
      <c r="D115" s="276" t="s">
        <v>31</v>
      </c>
      <c r="E115" s="275" t="s">
        <v>26</v>
      </c>
      <c r="F115" s="275">
        <v>19</v>
      </c>
      <c r="G115" s="234" t="s">
        <v>79</v>
      </c>
      <c r="H115" s="277">
        <v>4.9000000000000004</v>
      </c>
      <c r="I115" s="263">
        <v>39</v>
      </c>
      <c r="J115" s="263"/>
      <c r="K115" s="277">
        <v>4.9000000000000004</v>
      </c>
      <c r="L115" s="263"/>
      <c r="M115" s="280" t="s">
        <v>115</v>
      </c>
      <c r="N115" s="234" t="s">
        <v>368</v>
      </c>
      <c r="O115" s="281">
        <v>44211</v>
      </c>
      <c r="P115" s="275" t="s">
        <v>62</v>
      </c>
      <c r="Q115" s="263" t="s">
        <v>33</v>
      </c>
      <c r="R115" s="233"/>
      <c r="S115" s="282"/>
      <c r="T115" s="265"/>
      <c r="U115" s="265"/>
      <c r="V115" s="266" t="s">
        <v>49</v>
      </c>
      <c r="X115" s="240"/>
      <c r="Y115" s="268"/>
      <c r="Z115" s="240"/>
      <c r="AA115" s="241"/>
    </row>
    <row r="116" spans="1:27" s="267" customFormat="1">
      <c r="A116" s="232">
        <v>108</v>
      </c>
      <c r="B116" s="275" t="s">
        <v>6</v>
      </c>
      <c r="C116" s="275">
        <v>4</v>
      </c>
      <c r="D116" s="276" t="s">
        <v>23</v>
      </c>
      <c r="E116" s="275" t="s">
        <v>26</v>
      </c>
      <c r="F116" s="275">
        <v>18</v>
      </c>
      <c r="G116" s="234" t="s">
        <v>80</v>
      </c>
      <c r="H116" s="277">
        <v>5.4</v>
      </c>
      <c r="I116" s="263">
        <v>38</v>
      </c>
      <c r="J116" s="263"/>
      <c r="K116" s="277">
        <v>5.4</v>
      </c>
      <c r="L116" s="263"/>
      <c r="M116" s="280" t="s">
        <v>115</v>
      </c>
      <c r="N116" s="234" t="s">
        <v>369</v>
      </c>
      <c r="O116" s="281">
        <v>44211</v>
      </c>
      <c r="P116" s="275" t="s">
        <v>64</v>
      </c>
      <c r="Q116" s="263" t="s">
        <v>43</v>
      </c>
      <c r="R116" s="233"/>
      <c r="S116" s="282"/>
      <c r="T116" s="265"/>
      <c r="U116" s="265"/>
      <c r="V116" s="266" t="s">
        <v>48</v>
      </c>
      <c r="X116" s="240"/>
      <c r="Y116" s="268"/>
      <c r="Z116" s="240"/>
      <c r="AA116" s="241"/>
    </row>
    <row r="117" spans="1:27" s="267" customFormat="1">
      <c r="A117" s="232">
        <v>109</v>
      </c>
      <c r="B117" s="275" t="s">
        <v>6</v>
      </c>
      <c r="C117" s="275">
        <v>4</v>
      </c>
      <c r="D117" s="276" t="s">
        <v>23</v>
      </c>
      <c r="E117" s="275" t="s">
        <v>26</v>
      </c>
      <c r="F117" s="275">
        <v>20</v>
      </c>
      <c r="G117" s="234" t="s">
        <v>74</v>
      </c>
      <c r="H117" s="277">
        <v>1.4</v>
      </c>
      <c r="I117" s="263">
        <v>20</v>
      </c>
      <c r="J117" s="263"/>
      <c r="K117" s="277">
        <v>1.4</v>
      </c>
      <c r="L117" s="263"/>
      <c r="M117" s="280" t="s">
        <v>115</v>
      </c>
      <c r="N117" s="234" t="s">
        <v>369</v>
      </c>
      <c r="O117" s="281">
        <v>44211</v>
      </c>
      <c r="P117" s="275" t="s">
        <v>64</v>
      </c>
      <c r="Q117" s="263" t="s">
        <v>43</v>
      </c>
      <c r="R117" s="233"/>
      <c r="S117" s="282"/>
      <c r="T117" s="265"/>
      <c r="U117" s="265"/>
      <c r="V117" s="266"/>
      <c r="X117" s="240"/>
      <c r="Y117" s="268"/>
      <c r="Z117" s="240"/>
      <c r="AA117" s="241"/>
    </row>
    <row r="118" spans="1:27" s="267" customFormat="1">
      <c r="A118" s="232">
        <v>110</v>
      </c>
      <c r="B118" s="275" t="s">
        <v>6</v>
      </c>
      <c r="C118" s="275">
        <v>4</v>
      </c>
      <c r="D118" s="276" t="s">
        <v>23</v>
      </c>
      <c r="E118" s="275" t="s">
        <v>26</v>
      </c>
      <c r="F118" s="275">
        <v>21</v>
      </c>
      <c r="G118" s="234" t="s">
        <v>79</v>
      </c>
      <c r="H118" s="277">
        <v>7.6</v>
      </c>
      <c r="I118" s="263">
        <v>96</v>
      </c>
      <c r="J118" s="263"/>
      <c r="K118" s="277">
        <v>7.6</v>
      </c>
      <c r="L118" s="263"/>
      <c r="M118" s="280" t="s">
        <v>115</v>
      </c>
      <c r="N118" s="234" t="s">
        <v>369</v>
      </c>
      <c r="O118" s="281">
        <v>44211</v>
      </c>
      <c r="P118" s="275" t="s">
        <v>62</v>
      </c>
      <c r="Q118" s="263" t="s">
        <v>33</v>
      </c>
      <c r="R118" s="233"/>
      <c r="S118" s="282"/>
      <c r="T118" s="265"/>
      <c r="U118" s="265"/>
      <c r="V118" s="266"/>
      <c r="X118" s="240"/>
      <c r="Y118" s="268"/>
      <c r="Z118" s="240"/>
      <c r="AA118" s="241"/>
    </row>
    <row r="119" spans="1:27" s="267" customFormat="1">
      <c r="A119" s="232">
        <v>111</v>
      </c>
      <c r="B119" s="275" t="s">
        <v>6</v>
      </c>
      <c r="C119" s="275">
        <v>4</v>
      </c>
      <c r="D119" s="276" t="s">
        <v>23</v>
      </c>
      <c r="E119" s="275" t="s">
        <v>26</v>
      </c>
      <c r="F119" s="275">
        <v>29</v>
      </c>
      <c r="G119" s="234" t="s">
        <v>82</v>
      </c>
      <c r="H119" s="277">
        <v>0.4</v>
      </c>
      <c r="I119" s="263">
        <v>6</v>
      </c>
      <c r="J119" s="263"/>
      <c r="K119" s="277">
        <v>0.4</v>
      </c>
      <c r="L119" s="263"/>
      <c r="M119" s="280" t="s">
        <v>115</v>
      </c>
      <c r="N119" s="234" t="s">
        <v>369</v>
      </c>
      <c r="O119" s="281">
        <v>44211</v>
      </c>
      <c r="P119" s="275" t="s">
        <v>62</v>
      </c>
      <c r="Q119" s="263" t="s">
        <v>33</v>
      </c>
      <c r="R119" s="233"/>
      <c r="S119" s="282"/>
      <c r="T119" s="265"/>
      <c r="U119" s="265"/>
      <c r="V119" s="266"/>
      <c r="X119" s="240"/>
      <c r="Y119" s="268"/>
      <c r="Z119" s="240"/>
      <c r="AA119" s="241"/>
    </row>
    <row r="120" spans="1:27" s="267" customFormat="1">
      <c r="A120" s="232">
        <v>112</v>
      </c>
      <c r="B120" s="275" t="s">
        <v>6</v>
      </c>
      <c r="C120" s="275">
        <v>4</v>
      </c>
      <c r="D120" s="276" t="s">
        <v>24</v>
      </c>
      <c r="E120" s="275" t="s">
        <v>26</v>
      </c>
      <c r="F120" s="275">
        <v>15</v>
      </c>
      <c r="G120" s="234" t="s">
        <v>100</v>
      </c>
      <c r="H120" s="277">
        <v>2</v>
      </c>
      <c r="I120" s="263">
        <v>49</v>
      </c>
      <c r="J120" s="263">
        <v>25</v>
      </c>
      <c r="K120" s="277">
        <v>2</v>
      </c>
      <c r="L120" s="263"/>
      <c r="M120" s="280" t="s">
        <v>115</v>
      </c>
      <c r="N120" s="234" t="s">
        <v>370</v>
      </c>
      <c r="O120" s="281">
        <v>44211</v>
      </c>
      <c r="P120" s="275" t="s">
        <v>64</v>
      </c>
      <c r="Q120" s="263" t="s">
        <v>33</v>
      </c>
      <c r="R120" s="233"/>
      <c r="S120" s="282"/>
      <c r="T120" s="265"/>
      <c r="U120" s="265"/>
      <c r="V120" s="266" t="s">
        <v>48</v>
      </c>
      <c r="X120" s="240"/>
      <c r="Y120" s="268"/>
      <c r="Z120" s="240"/>
      <c r="AA120" s="241"/>
    </row>
    <row r="121" spans="1:27" s="267" customFormat="1">
      <c r="A121" s="232">
        <v>113</v>
      </c>
      <c r="B121" s="275" t="s">
        <v>6</v>
      </c>
      <c r="C121" s="275">
        <v>4</v>
      </c>
      <c r="D121" s="276" t="s">
        <v>22</v>
      </c>
      <c r="E121" s="275" t="s">
        <v>26</v>
      </c>
      <c r="F121" s="275">
        <v>13</v>
      </c>
      <c r="G121" s="234" t="s">
        <v>88</v>
      </c>
      <c r="H121" s="277">
        <v>19.3</v>
      </c>
      <c r="I121" s="263">
        <v>921</v>
      </c>
      <c r="J121" s="263">
        <f>786+31</f>
        <v>817</v>
      </c>
      <c r="K121" s="277">
        <v>19.3</v>
      </c>
      <c r="L121" s="263"/>
      <c r="M121" s="280" t="s">
        <v>115</v>
      </c>
      <c r="N121" s="234" t="s">
        <v>371</v>
      </c>
      <c r="O121" s="281">
        <v>44201</v>
      </c>
      <c r="P121" s="275" t="s">
        <v>62</v>
      </c>
      <c r="Q121" s="263" t="s">
        <v>33</v>
      </c>
      <c r="R121" s="233"/>
      <c r="S121" s="282"/>
      <c r="T121" s="265"/>
      <c r="U121" s="265"/>
      <c r="V121" s="266" t="s">
        <v>49</v>
      </c>
      <c r="X121" s="240"/>
      <c r="Y121" s="268"/>
      <c r="Z121" s="240"/>
      <c r="AA121" s="241"/>
    </row>
    <row r="122" spans="1:27" s="267" customFormat="1">
      <c r="A122" s="232">
        <v>114</v>
      </c>
      <c r="B122" s="275" t="s">
        <v>6</v>
      </c>
      <c r="C122" s="275">
        <v>4</v>
      </c>
      <c r="D122" s="276" t="s">
        <v>22</v>
      </c>
      <c r="E122" s="275" t="s">
        <v>26</v>
      </c>
      <c r="F122" s="275">
        <v>22</v>
      </c>
      <c r="G122" s="234" t="s">
        <v>85</v>
      </c>
      <c r="H122" s="277">
        <v>5.3</v>
      </c>
      <c r="I122" s="263">
        <v>308</v>
      </c>
      <c r="J122" s="263">
        <v>270</v>
      </c>
      <c r="K122" s="277">
        <v>5.3</v>
      </c>
      <c r="L122" s="263"/>
      <c r="M122" s="280" t="s">
        <v>115</v>
      </c>
      <c r="N122" s="234" t="s">
        <v>371</v>
      </c>
      <c r="O122" s="281">
        <v>44201</v>
      </c>
      <c r="P122" s="275" t="s">
        <v>64</v>
      </c>
      <c r="Q122" s="263" t="s">
        <v>33</v>
      </c>
      <c r="R122" s="233"/>
      <c r="S122" s="282"/>
      <c r="T122" s="265"/>
      <c r="U122" s="265"/>
      <c r="V122" s="266" t="s">
        <v>50</v>
      </c>
      <c r="X122" s="240"/>
      <c r="Y122" s="268"/>
      <c r="Z122" s="240"/>
      <c r="AA122" s="241"/>
    </row>
    <row r="123" spans="1:27" s="267" customFormat="1">
      <c r="A123" s="232">
        <v>115</v>
      </c>
      <c r="B123" s="275" t="s">
        <v>6</v>
      </c>
      <c r="C123" s="275">
        <v>4</v>
      </c>
      <c r="D123" s="276" t="s">
        <v>22</v>
      </c>
      <c r="E123" s="275" t="s">
        <v>28</v>
      </c>
      <c r="F123" s="275">
        <v>26</v>
      </c>
      <c r="G123" s="234" t="s">
        <v>79</v>
      </c>
      <c r="H123" s="277">
        <v>3.3</v>
      </c>
      <c r="I123" s="263">
        <v>204</v>
      </c>
      <c r="J123" s="263">
        <v>190</v>
      </c>
      <c r="K123" s="277">
        <v>3.3</v>
      </c>
      <c r="L123" s="263"/>
      <c r="M123" s="280" t="s">
        <v>115</v>
      </c>
      <c r="N123" s="234" t="s">
        <v>371</v>
      </c>
      <c r="O123" s="281">
        <v>44201</v>
      </c>
      <c r="P123" s="275" t="s">
        <v>64</v>
      </c>
      <c r="Q123" s="263" t="s">
        <v>33</v>
      </c>
      <c r="R123" s="233"/>
      <c r="S123" s="282"/>
      <c r="T123" s="265"/>
      <c r="U123" s="265"/>
      <c r="V123" s="266" t="s">
        <v>50</v>
      </c>
      <c r="X123" s="240"/>
      <c r="Y123" s="268"/>
      <c r="Z123" s="240"/>
      <c r="AA123" s="241"/>
    </row>
    <row r="124" spans="1:27" s="267" customFormat="1">
      <c r="A124" s="232">
        <v>116</v>
      </c>
      <c r="B124" s="275" t="s">
        <v>6</v>
      </c>
      <c r="C124" s="275">
        <v>4</v>
      </c>
      <c r="D124" s="276" t="s">
        <v>32</v>
      </c>
      <c r="E124" s="275" t="s">
        <v>26</v>
      </c>
      <c r="F124" s="275">
        <v>23</v>
      </c>
      <c r="G124" s="234" t="s">
        <v>69</v>
      </c>
      <c r="H124" s="277">
        <v>7.2</v>
      </c>
      <c r="I124" s="263">
        <v>135</v>
      </c>
      <c r="J124" s="263">
        <v>119</v>
      </c>
      <c r="K124" s="277">
        <v>7.2</v>
      </c>
      <c r="L124" s="263"/>
      <c r="M124" s="280" t="s">
        <v>115</v>
      </c>
      <c r="N124" s="234" t="s">
        <v>372</v>
      </c>
      <c r="O124" s="281">
        <v>44217</v>
      </c>
      <c r="P124" s="275" t="s">
        <v>62</v>
      </c>
      <c r="Q124" s="263" t="s">
        <v>33</v>
      </c>
      <c r="R124" s="233"/>
      <c r="S124" s="282"/>
      <c r="T124" s="265"/>
      <c r="U124" s="265"/>
      <c r="V124" s="266" t="s">
        <v>50</v>
      </c>
      <c r="X124" s="240"/>
      <c r="Y124" s="268"/>
      <c r="Z124" s="240"/>
      <c r="AA124" s="241"/>
    </row>
    <row r="125" spans="1:27" s="267" customFormat="1">
      <c r="A125" s="232">
        <v>117</v>
      </c>
      <c r="B125" s="275" t="s">
        <v>6</v>
      </c>
      <c r="C125" s="275">
        <v>2</v>
      </c>
      <c r="D125" s="276" t="s">
        <v>32</v>
      </c>
      <c r="E125" s="275" t="s">
        <v>26</v>
      </c>
      <c r="F125" s="275">
        <v>7</v>
      </c>
      <c r="G125" s="234" t="s">
        <v>69</v>
      </c>
      <c r="H125" s="277">
        <v>4.5</v>
      </c>
      <c r="I125" s="263">
        <v>129</v>
      </c>
      <c r="J125" s="263">
        <v>100</v>
      </c>
      <c r="K125" s="277">
        <v>4.5</v>
      </c>
      <c r="L125" s="263"/>
      <c r="M125" s="280" t="s">
        <v>115</v>
      </c>
      <c r="N125" s="234" t="s">
        <v>372</v>
      </c>
      <c r="O125" s="281">
        <v>44217</v>
      </c>
      <c r="P125" s="275" t="s">
        <v>64</v>
      </c>
      <c r="Q125" s="263" t="s">
        <v>43</v>
      </c>
      <c r="R125" s="233"/>
      <c r="S125" s="282"/>
      <c r="T125" s="265"/>
      <c r="U125" s="265"/>
      <c r="V125" s="266" t="s">
        <v>50</v>
      </c>
      <c r="X125" s="240"/>
      <c r="Y125" s="268"/>
      <c r="Z125" s="240"/>
      <c r="AA125" s="241"/>
    </row>
    <row r="126" spans="1:27" s="267" customFormat="1">
      <c r="A126" s="232">
        <v>118</v>
      </c>
      <c r="B126" s="275" t="s">
        <v>6</v>
      </c>
      <c r="C126" s="275">
        <v>2</v>
      </c>
      <c r="D126" s="276" t="s">
        <v>32</v>
      </c>
      <c r="E126" s="275" t="s">
        <v>26</v>
      </c>
      <c r="F126" s="275">
        <v>8</v>
      </c>
      <c r="G126" s="234" t="s">
        <v>75</v>
      </c>
      <c r="H126" s="277">
        <v>2.5</v>
      </c>
      <c r="I126" s="263">
        <v>76</v>
      </c>
      <c r="J126" s="263">
        <v>65</v>
      </c>
      <c r="K126" s="277">
        <v>2.5</v>
      </c>
      <c r="L126" s="263"/>
      <c r="M126" s="280" t="s">
        <v>115</v>
      </c>
      <c r="N126" s="234" t="s">
        <v>372</v>
      </c>
      <c r="O126" s="281">
        <v>44217</v>
      </c>
      <c r="P126" s="275" t="s">
        <v>64</v>
      </c>
      <c r="Q126" s="263" t="s">
        <v>43</v>
      </c>
      <c r="R126" s="233"/>
      <c r="S126" s="282"/>
      <c r="T126" s="265"/>
      <c r="U126" s="265"/>
      <c r="V126" s="266"/>
      <c r="X126" s="240"/>
      <c r="Y126" s="268"/>
      <c r="Z126" s="240"/>
      <c r="AA126" s="241"/>
    </row>
    <row r="127" spans="1:27" s="267" customFormat="1">
      <c r="A127" s="232">
        <v>119</v>
      </c>
      <c r="B127" s="275" t="s">
        <v>6</v>
      </c>
      <c r="C127" s="275">
        <v>2</v>
      </c>
      <c r="D127" s="276" t="s">
        <v>32</v>
      </c>
      <c r="E127" s="275" t="s">
        <v>26</v>
      </c>
      <c r="F127" s="275">
        <v>9</v>
      </c>
      <c r="G127" s="234" t="s">
        <v>72</v>
      </c>
      <c r="H127" s="277">
        <v>35.299999999999997</v>
      </c>
      <c r="I127" s="263">
        <v>470</v>
      </c>
      <c r="J127" s="263">
        <v>289</v>
      </c>
      <c r="K127" s="277">
        <v>35.299999999999997</v>
      </c>
      <c r="L127" s="263"/>
      <c r="M127" s="280" t="s">
        <v>115</v>
      </c>
      <c r="N127" s="234" t="s">
        <v>372</v>
      </c>
      <c r="O127" s="281">
        <v>44217</v>
      </c>
      <c r="P127" s="275" t="s">
        <v>64</v>
      </c>
      <c r="Q127" s="263" t="s">
        <v>43</v>
      </c>
      <c r="R127" s="233"/>
      <c r="S127" s="282"/>
      <c r="T127" s="265"/>
      <c r="U127" s="265"/>
      <c r="V127" s="266"/>
      <c r="X127" s="240"/>
      <c r="Y127" s="268"/>
      <c r="Z127" s="240"/>
      <c r="AA127" s="241"/>
    </row>
    <row r="128" spans="1:27" s="267" customFormat="1">
      <c r="A128" s="232">
        <v>120</v>
      </c>
      <c r="B128" s="275" t="s">
        <v>6</v>
      </c>
      <c r="C128" s="275">
        <v>4</v>
      </c>
      <c r="D128" s="276" t="s">
        <v>32</v>
      </c>
      <c r="E128" s="275" t="s">
        <v>26</v>
      </c>
      <c r="F128" s="275">
        <v>24</v>
      </c>
      <c r="G128" s="234" t="s">
        <v>67</v>
      </c>
      <c r="H128" s="277">
        <v>8.4</v>
      </c>
      <c r="I128" s="263">
        <v>169</v>
      </c>
      <c r="J128" s="263">
        <v>141</v>
      </c>
      <c r="K128" s="277">
        <v>8.4</v>
      </c>
      <c r="L128" s="263"/>
      <c r="M128" s="280" t="s">
        <v>115</v>
      </c>
      <c r="N128" s="234" t="s">
        <v>372</v>
      </c>
      <c r="O128" s="281">
        <v>44217</v>
      </c>
      <c r="P128" s="275" t="s">
        <v>64</v>
      </c>
      <c r="Q128" s="263" t="s">
        <v>33</v>
      </c>
      <c r="R128" s="233"/>
      <c r="S128" s="282"/>
      <c r="T128" s="265"/>
      <c r="U128" s="265"/>
      <c r="V128" s="266"/>
      <c r="X128" s="240"/>
      <c r="Y128" s="268"/>
      <c r="Z128" s="240"/>
      <c r="AA128" s="241"/>
    </row>
    <row r="129" spans="1:27" s="267" customFormat="1">
      <c r="A129" s="232">
        <v>121</v>
      </c>
      <c r="B129" s="275" t="s">
        <v>6</v>
      </c>
      <c r="C129" s="275">
        <v>2</v>
      </c>
      <c r="D129" s="276" t="s">
        <v>125</v>
      </c>
      <c r="E129" s="275" t="s">
        <v>26</v>
      </c>
      <c r="F129" s="275">
        <v>2</v>
      </c>
      <c r="G129" s="234" t="s">
        <v>92</v>
      </c>
      <c r="H129" s="277">
        <v>1</v>
      </c>
      <c r="I129" s="263">
        <v>36</v>
      </c>
      <c r="J129" s="263">
        <v>1</v>
      </c>
      <c r="K129" s="277">
        <v>1</v>
      </c>
      <c r="L129" s="263"/>
      <c r="M129" s="280" t="s">
        <v>115</v>
      </c>
      <c r="N129" s="234" t="s">
        <v>373</v>
      </c>
      <c r="O129" s="281">
        <v>44217</v>
      </c>
      <c r="P129" s="275" t="s">
        <v>64</v>
      </c>
      <c r="Q129" s="263" t="s">
        <v>43</v>
      </c>
      <c r="R129" s="233"/>
      <c r="S129" s="282"/>
      <c r="T129" s="265"/>
      <c r="U129" s="265"/>
      <c r="V129" s="266"/>
      <c r="X129" s="240"/>
      <c r="Y129" s="268"/>
      <c r="Z129" s="240"/>
      <c r="AA129" s="241"/>
    </row>
    <row r="130" spans="1:27" s="267" customFormat="1">
      <c r="A130" s="232">
        <v>122</v>
      </c>
      <c r="B130" s="275" t="s">
        <v>27</v>
      </c>
      <c r="C130" s="275">
        <v>4</v>
      </c>
      <c r="D130" s="276" t="s">
        <v>31</v>
      </c>
      <c r="E130" s="275" t="s">
        <v>26</v>
      </c>
      <c r="F130" s="275">
        <v>41</v>
      </c>
      <c r="G130" s="234" t="s">
        <v>83</v>
      </c>
      <c r="H130" s="287">
        <v>0.7</v>
      </c>
      <c r="I130" s="263">
        <v>1</v>
      </c>
      <c r="J130" s="263"/>
      <c r="K130" s="287">
        <v>0.7</v>
      </c>
      <c r="L130" s="263"/>
      <c r="M130" s="280" t="s">
        <v>115</v>
      </c>
      <c r="N130" s="234" t="s">
        <v>366</v>
      </c>
      <c r="O130" s="281">
        <v>44211</v>
      </c>
      <c r="P130" s="275" t="s">
        <v>62</v>
      </c>
      <c r="Q130" s="263" t="s">
        <v>61</v>
      </c>
      <c r="R130" s="233"/>
      <c r="S130" s="282"/>
      <c r="T130" s="265"/>
      <c r="U130" s="265"/>
      <c r="V130" s="266" t="s">
        <v>51</v>
      </c>
      <c r="X130" s="240"/>
      <c r="Y130" s="268"/>
      <c r="Z130" s="240"/>
      <c r="AA130" s="241"/>
    </row>
    <row r="131" spans="1:27" s="267" customFormat="1">
      <c r="A131" s="232">
        <v>123</v>
      </c>
      <c r="B131" s="275" t="s">
        <v>27</v>
      </c>
      <c r="C131" s="275">
        <v>4</v>
      </c>
      <c r="D131" s="276" t="s">
        <v>31</v>
      </c>
      <c r="E131" s="275" t="s">
        <v>26</v>
      </c>
      <c r="F131" s="275">
        <v>42</v>
      </c>
      <c r="G131" s="234" t="s">
        <v>74</v>
      </c>
      <c r="H131" s="279">
        <v>1.3</v>
      </c>
      <c r="I131" s="263">
        <v>2</v>
      </c>
      <c r="J131" s="263"/>
      <c r="K131" s="279">
        <v>1.3</v>
      </c>
      <c r="L131" s="263"/>
      <c r="M131" s="280" t="s">
        <v>115</v>
      </c>
      <c r="N131" s="234" t="s">
        <v>366</v>
      </c>
      <c r="O131" s="281">
        <v>44211</v>
      </c>
      <c r="P131" s="275" t="s">
        <v>62</v>
      </c>
      <c r="Q131" s="263" t="s">
        <v>61</v>
      </c>
      <c r="R131" s="233"/>
      <c r="S131" s="282"/>
      <c r="T131" s="265"/>
      <c r="U131" s="265"/>
      <c r="V131" s="266" t="s">
        <v>51</v>
      </c>
      <c r="X131" s="240"/>
      <c r="Y131" s="268"/>
      <c r="Z131" s="240"/>
      <c r="AA131" s="241"/>
    </row>
    <row r="132" spans="1:27" s="267" customFormat="1">
      <c r="A132" s="232">
        <v>124</v>
      </c>
      <c r="B132" s="275" t="s">
        <v>27</v>
      </c>
      <c r="C132" s="275">
        <v>4</v>
      </c>
      <c r="D132" s="276" t="s">
        <v>31</v>
      </c>
      <c r="E132" s="275" t="s">
        <v>26</v>
      </c>
      <c r="F132" s="275">
        <v>42</v>
      </c>
      <c r="G132" s="234" t="s">
        <v>79</v>
      </c>
      <c r="H132" s="279">
        <v>1.6</v>
      </c>
      <c r="I132" s="263">
        <v>2</v>
      </c>
      <c r="J132" s="263"/>
      <c r="K132" s="279">
        <v>1.6</v>
      </c>
      <c r="L132" s="263"/>
      <c r="M132" s="280" t="s">
        <v>115</v>
      </c>
      <c r="N132" s="234" t="s">
        <v>366</v>
      </c>
      <c r="O132" s="281">
        <v>44211</v>
      </c>
      <c r="P132" s="275" t="s">
        <v>62</v>
      </c>
      <c r="Q132" s="263" t="s">
        <v>61</v>
      </c>
      <c r="R132" s="233"/>
      <c r="S132" s="282"/>
      <c r="T132" s="265"/>
      <c r="U132" s="265"/>
      <c r="V132" s="266" t="s">
        <v>33</v>
      </c>
      <c r="X132" s="240"/>
      <c r="Y132" s="268"/>
      <c r="Z132" s="240"/>
      <c r="AA132" s="241"/>
    </row>
    <row r="133" spans="1:27" s="267" customFormat="1">
      <c r="A133" s="232">
        <v>125</v>
      </c>
      <c r="B133" s="275" t="s">
        <v>27</v>
      </c>
      <c r="C133" s="275">
        <v>4</v>
      </c>
      <c r="D133" s="276" t="s">
        <v>31</v>
      </c>
      <c r="E133" s="275" t="s">
        <v>26</v>
      </c>
      <c r="F133" s="275">
        <v>52</v>
      </c>
      <c r="G133" s="234" t="s">
        <v>88</v>
      </c>
      <c r="H133" s="279">
        <v>4.8</v>
      </c>
      <c r="I133" s="263">
        <v>27</v>
      </c>
      <c r="J133" s="263"/>
      <c r="K133" s="279">
        <v>4.8</v>
      </c>
      <c r="L133" s="263"/>
      <c r="M133" s="280" t="s">
        <v>115</v>
      </c>
      <c r="N133" s="234" t="s">
        <v>366</v>
      </c>
      <c r="O133" s="281">
        <v>44211</v>
      </c>
      <c r="P133" s="275" t="s">
        <v>62</v>
      </c>
      <c r="Q133" s="263" t="s">
        <v>61</v>
      </c>
      <c r="R133" s="233"/>
      <c r="S133" s="282"/>
      <c r="T133" s="265"/>
      <c r="U133" s="265"/>
      <c r="V133" s="266" t="s">
        <v>33</v>
      </c>
      <c r="X133" s="240"/>
      <c r="Y133" s="268"/>
      <c r="Z133" s="240"/>
      <c r="AA133" s="241"/>
    </row>
    <row r="134" spans="1:27" s="267" customFormat="1">
      <c r="A134" s="232">
        <v>126</v>
      </c>
      <c r="B134" s="275" t="s">
        <v>27</v>
      </c>
      <c r="C134" s="275">
        <v>4</v>
      </c>
      <c r="D134" s="276" t="s">
        <v>31</v>
      </c>
      <c r="E134" s="275" t="s">
        <v>26</v>
      </c>
      <c r="F134" s="275">
        <v>53</v>
      </c>
      <c r="G134" s="234" t="s">
        <v>195</v>
      </c>
      <c r="H134" s="279">
        <v>3.7</v>
      </c>
      <c r="I134" s="263">
        <v>21</v>
      </c>
      <c r="J134" s="263"/>
      <c r="K134" s="279">
        <v>3.7</v>
      </c>
      <c r="L134" s="263"/>
      <c r="M134" s="280" t="s">
        <v>115</v>
      </c>
      <c r="N134" s="234" t="s">
        <v>366</v>
      </c>
      <c r="O134" s="281">
        <v>44211</v>
      </c>
      <c r="P134" s="275" t="s">
        <v>62</v>
      </c>
      <c r="Q134" s="263" t="s">
        <v>61</v>
      </c>
      <c r="R134" s="233"/>
      <c r="S134" s="282"/>
      <c r="T134" s="265"/>
      <c r="U134" s="265"/>
      <c r="V134" s="266" t="s">
        <v>33</v>
      </c>
      <c r="X134" s="240"/>
      <c r="Y134" s="268"/>
      <c r="Z134" s="240"/>
      <c r="AA134" s="241"/>
    </row>
    <row r="135" spans="1:27" s="267" customFormat="1">
      <c r="A135" s="232">
        <v>127</v>
      </c>
      <c r="B135" s="275" t="s">
        <v>27</v>
      </c>
      <c r="C135" s="275">
        <v>4</v>
      </c>
      <c r="D135" s="276" t="s">
        <v>31</v>
      </c>
      <c r="E135" s="275" t="s">
        <v>26</v>
      </c>
      <c r="F135" s="275">
        <v>54</v>
      </c>
      <c r="G135" s="234" t="s">
        <v>84</v>
      </c>
      <c r="H135" s="279">
        <v>2.6</v>
      </c>
      <c r="I135" s="263">
        <v>13</v>
      </c>
      <c r="J135" s="263"/>
      <c r="K135" s="279">
        <v>2.6</v>
      </c>
      <c r="L135" s="263"/>
      <c r="M135" s="280" t="s">
        <v>115</v>
      </c>
      <c r="N135" s="234" t="s">
        <v>366</v>
      </c>
      <c r="O135" s="281">
        <v>44211</v>
      </c>
      <c r="P135" s="275" t="s">
        <v>62</v>
      </c>
      <c r="Q135" s="263" t="s">
        <v>61</v>
      </c>
      <c r="R135" s="233"/>
      <c r="S135" s="282"/>
      <c r="T135" s="265"/>
      <c r="U135" s="288"/>
      <c r="V135" s="266" t="s">
        <v>33</v>
      </c>
      <c r="X135" s="240"/>
      <c r="Y135" s="268"/>
      <c r="Z135" s="240"/>
      <c r="AA135" s="241"/>
    </row>
    <row r="136" spans="1:27" s="267" customFormat="1">
      <c r="A136" s="232">
        <v>128</v>
      </c>
      <c r="B136" s="275" t="s">
        <v>27</v>
      </c>
      <c r="C136" s="275">
        <v>4</v>
      </c>
      <c r="D136" s="276" t="s">
        <v>31</v>
      </c>
      <c r="E136" s="275" t="s">
        <v>26</v>
      </c>
      <c r="F136" s="275">
        <v>9</v>
      </c>
      <c r="G136" s="234" t="s">
        <v>72</v>
      </c>
      <c r="H136" s="279">
        <v>0.2</v>
      </c>
      <c r="I136" s="263">
        <v>1</v>
      </c>
      <c r="J136" s="263"/>
      <c r="K136" s="279">
        <v>0.2</v>
      </c>
      <c r="L136" s="263"/>
      <c r="M136" s="280" t="s">
        <v>115</v>
      </c>
      <c r="N136" s="234" t="s">
        <v>366</v>
      </c>
      <c r="O136" s="281">
        <v>44211</v>
      </c>
      <c r="P136" s="275" t="s">
        <v>62</v>
      </c>
      <c r="Q136" s="263" t="s">
        <v>466</v>
      </c>
      <c r="R136" s="233"/>
      <c r="S136" s="282"/>
      <c r="T136" s="265"/>
      <c r="U136" s="265"/>
      <c r="V136" s="266" t="s">
        <v>33</v>
      </c>
      <c r="X136" s="240"/>
      <c r="Y136" s="268"/>
      <c r="Z136" s="240"/>
      <c r="AA136" s="241"/>
    </row>
    <row r="137" spans="1:27" s="267" customFormat="1">
      <c r="A137" s="232">
        <v>129</v>
      </c>
      <c r="B137" s="275" t="s">
        <v>27</v>
      </c>
      <c r="C137" s="275">
        <v>4</v>
      </c>
      <c r="D137" s="276" t="s">
        <v>23</v>
      </c>
      <c r="E137" s="275" t="s">
        <v>26</v>
      </c>
      <c r="F137" s="275">
        <v>3</v>
      </c>
      <c r="G137" s="234" t="s">
        <v>69</v>
      </c>
      <c r="H137" s="279">
        <v>3.8</v>
      </c>
      <c r="I137" s="263">
        <v>36</v>
      </c>
      <c r="J137" s="263">
        <v>12</v>
      </c>
      <c r="K137" s="279">
        <v>3.8</v>
      </c>
      <c r="L137" s="263"/>
      <c r="M137" s="280" t="s">
        <v>115</v>
      </c>
      <c r="N137" s="234" t="s">
        <v>374</v>
      </c>
      <c r="O137" s="281">
        <v>44211</v>
      </c>
      <c r="P137" s="275" t="s">
        <v>62</v>
      </c>
      <c r="Q137" s="263" t="s">
        <v>466</v>
      </c>
      <c r="R137" s="233"/>
      <c r="S137" s="282"/>
      <c r="T137" s="265"/>
      <c r="U137" s="265"/>
      <c r="V137" s="266" t="s">
        <v>51</v>
      </c>
      <c r="X137" s="240"/>
      <c r="Y137" s="268"/>
      <c r="Z137" s="240"/>
      <c r="AA137" s="241"/>
    </row>
    <row r="138" spans="1:27" s="267" customFormat="1">
      <c r="A138" s="232">
        <v>130</v>
      </c>
      <c r="B138" s="275" t="s">
        <v>27</v>
      </c>
      <c r="C138" s="275">
        <v>4</v>
      </c>
      <c r="D138" s="276" t="s">
        <v>23</v>
      </c>
      <c r="E138" s="275" t="s">
        <v>26</v>
      </c>
      <c r="F138" s="275">
        <v>45</v>
      </c>
      <c r="G138" s="234" t="s">
        <v>67</v>
      </c>
      <c r="H138" s="279">
        <v>2.6</v>
      </c>
      <c r="I138" s="263">
        <v>27</v>
      </c>
      <c r="J138" s="263"/>
      <c r="K138" s="279">
        <v>2.6</v>
      </c>
      <c r="L138" s="263"/>
      <c r="M138" s="280" t="s">
        <v>115</v>
      </c>
      <c r="N138" s="234" t="s">
        <v>374</v>
      </c>
      <c r="O138" s="281">
        <v>44211</v>
      </c>
      <c r="P138" s="275" t="s">
        <v>62</v>
      </c>
      <c r="Q138" s="263" t="s">
        <v>61</v>
      </c>
      <c r="R138" s="233"/>
      <c r="S138" s="282"/>
      <c r="T138" s="265"/>
      <c r="U138" s="265"/>
      <c r="V138" s="266" t="s">
        <v>51</v>
      </c>
      <c r="X138" s="240"/>
      <c r="Y138" s="268"/>
      <c r="Z138" s="240"/>
      <c r="AA138" s="241"/>
    </row>
    <row r="139" spans="1:27" s="267" customFormat="1">
      <c r="A139" s="232">
        <v>131</v>
      </c>
      <c r="B139" s="275" t="s">
        <v>27</v>
      </c>
      <c r="C139" s="275">
        <v>4</v>
      </c>
      <c r="D139" s="276" t="s">
        <v>23</v>
      </c>
      <c r="E139" s="275" t="s">
        <v>26</v>
      </c>
      <c r="F139" s="275">
        <v>54</v>
      </c>
      <c r="G139" s="234" t="s">
        <v>78</v>
      </c>
      <c r="H139" s="279">
        <v>3.9</v>
      </c>
      <c r="I139" s="263">
        <v>70</v>
      </c>
      <c r="J139" s="263">
        <v>11</v>
      </c>
      <c r="K139" s="279">
        <v>3.9</v>
      </c>
      <c r="L139" s="263"/>
      <c r="M139" s="280" t="s">
        <v>115</v>
      </c>
      <c r="N139" s="234" t="s">
        <v>374</v>
      </c>
      <c r="O139" s="281">
        <v>44211</v>
      </c>
      <c r="P139" s="275" t="s">
        <v>62</v>
      </c>
      <c r="Q139" s="263" t="s">
        <v>61</v>
      </c>
      <c r="R139" s="233"/>
      <c r="S139" s="282"/>
      <c r="T139" s="265"/>
      <c r="U139" s="265"/>
      <c r="V139" s="266"/>
      <c r="X139" s="240"/>
      <c r="Y139" s="268"/>
      <c r="Z139" s="240"/>
      <c r="AA139" s="241"/>
    </row>
    <row r="140" spans="1:27" s="267" customFormat="1">
      <c r="A140" s="232">
        <v>132</v>
      </c>
      <c r="B140" s="275" t="s">
        <v>27</v>
      </c>
      <c r="C140" s="275">
        <v>4</v>
      </c>
      <c r="D140" s="276" t="s">
        <v>23</v>
      </c>
      <c r="E140" s="275" t="s">
        <v>26</v>
      </c>
      <c r="F140" s="275">
        <v>24</v>
      </c>
      <c r="G140" s="234" t="s">
        <v>71</v>
      </c>
      <c r="H140" s="279">
        <v>5.5</v>
      </c>
      <c r="I140" s="263">
        <v>132</v>
      </c>
      <c r="J140" s="263">
        <v>24</v>
      </c>
      <c r="K140" s="279">
        <v>5.5</v>
      </c>
      <c r="L140" s="263"/>
      <c r="M140" s="280" t="s">
        <v>115</v>
      </c>
      <c r="N140" s="234" t="s">
        <v>374</v>
      </c>
      <c r="O140" s="281">
        <v>44211</v>
      </c>
      <c r="P140" s="275" t="s">
        <v>62</v>
      </c>
      <c r="Q140" s="263" t="s">
        <v>16</v>
      </c>
      <c r="R140" s="233"/>
      <c r="S140" s="282"/>
      <c r="T140" s="265"/>
      <c r="U140" s="265"/>
      <c r="V140" s="266"/>
      <c r="X140" s="240"/>
      <c r="Y140" s="268"/>
      <c r="Z140" s="240"/>
      <c r="AA140" s="241"/>
    </row>
    <row r="141" spans="1:27" s="267" customFormat="1">
      <c r="A141" s="232">
        <v>133</v>
      </c>
      <c r="B141" s="275" t="s">
        <v>27</v>
      </c>
      <c r="C141" s="275">
        <v>4</v>
      </c>
      <c r="D141" s="276" t="s">
        <v>24</v>
      </c>
      <c r="E141" s="275" t="s">
        <v>26</v>
      </c>
      <c r="F141" s="275">
        <v>20</v>
      </c>
      <c r="G141" s="234" t="s">
        <v>68</v>
      </c>
      <c r="H141" s="279">
        <v>7.2</v>
      </c>
      <c r="I141" s="263">
        <v>245</v>
      </c>
      <c r="J141" s="263">
        <v>207</v>
      </c>
      <c r="K141" s="279">
        <v>7.2</v>
      </c>
      <c r="L141" s="263"/>
      <c r="M141" s="280" t="s">
        <v>115</v>
      </c>
      <c r="N141" s="234" t="s">
        <v>375</v>
      </c>
      <c r="O141" s="281">
        <v>44201</v>
      </c>
      <c r="P141" s="275" t="s">
        <v>62</v>
      </c>
      <c r="Q141" s="263" t="s">
        <v>16</v>
      </c>
      <c r="R141" s="233"/>
      <c r="S141" s="282"/>
      <c r="T141" s="265"/>
      <c r="U141" s="265"/>
      <c r="V141" s="266"/>
      <c r="X141" s="240"/>
      <c r="Y141" s="268"/>
      <c r="Z141" s="240"/>
      <c r="AA141" s="241"/>
    </row>
    <row r="142" spans="1:27" s="267" customFormat="1">
      <c r="A142" s="232">
        <v>134</v>
      </c>
      <c r="B142" s="275" t="s">
        <v>27</v>
      </c>
      <c r="C142" s="275">
        <v>4</v>
      </c>
      <c r="D142" s="276" t="s">
        <v>24</v>
      </c>
      <c r="E142" s="275" t="s">
        <v>26</v>
      </c>
      <c r="F142" s="275">
        <v>24</v>
      </c>
      <c r="G142" s="234" t="s">
        <v>67</v>
      </c>
      <c r="H142" s="279">
        <v>3.6</v>
      </c>
      <c r="I142" s="263">
        <v>95</v>
      </c>
      <c r="J142" s="263">
        <v>91</v>
      </c>
      <c r="K142" s="279">
        <v>3.6</v>
      </c>
      <c r="L142" s="263"/>
      <c r="M142" s="280" t="s">
        <v>115</v>
      </c>
      <c r="N142" s="234" t="s">
        <v>375</v>
      </c>
      <c r="O142" s="281">
        <v>44201</v>
      </c>
      <c r="P142" s="275" t="s">
        <v>62</v>
      </c>
      <c r="Q142" s="263" t="s">
        <v>16</v>
      </c>
      <c r="R142" s="233"/>
      <c r="S142" s="282"/>
      <c r="T142" s="265"/>
      <c r="U142" s="265"/>
      <c r="V142" s="266"/>
      <c r="X142" s="240"/>
      <c r="Y142" s="268"/>
      <c r="Z142" s="240"/>
      <c r="AA142" s="241"/>
    </row>
    <row r="143" spans="1:27" s="267" customFormat="1">
      <c r="A143" s="232">
        <v>135</v>
      </c>
      <c r="B143" s="275" t="s">
        <v>27</v>
      </c>
      <c r="C143" s="275">
        <v>4</v>
      </c>
      <c r="D143" s="276" t="s">
        <v>24</v>
      </c>
      <c r="E143" s="275" t="s">
        <v>26</v>
      </c>
      <c r="F143" s="275">
        <v>24</v>
      </c>
      <c r="G143" s="234" t="s">
        <v>79</v>
      </c>
      <c r="H143" s="279">
        <v>2.5</v>
      </c>
      <c r="I143" s="263">
        <v>41</v>
      </c>
      <c r="J143" s="263">
        <v>41</v>
      </c>
      <c r="K143" s="279">
        <v>2.5</v>
      </c>
      <c r="L143" s="263"/>
      <c r="M143" s="280" t="s">
        <v>115</v>
      </c>
      <c r="N143" s="234" t="s">
        <v>375</v>
      </c>
      <c r="O143" s="281">
        <v>44201</v>
      </c>
      <c r="P143" s="275" t="s">
        <v>62</v>
      </c>
      <c r="Q143" s="263" t="s">
        <v>16</v>
      </c>
      <c r="R143" s="233"/>
      <c r="S143" s="282"/>
      <c r="T143" s="265"/>
      <c r="U143" s="265"/>
      <c r="V143" s="266" t="s">
        <v>51</v>
      </c>
      <c r="X143" s="240"/>
      <c r="Y143" s="268"/>
      <c r="Z143" s="240"/>
      <c r="AA143" s="241"/>
    </row>
    <row r="144" spans="1:27" s="267" customFormat="1">
      <c r="A144" s="232">
        <v>136</v>
      </c>
      <c r="B144" s="275" t="s">
        <v>27</v>
      </c>
      <c r="C144" s="275">
        <v>4</v>
      </c>
      <c r="D144" s="276" t="s">
        <v>24</v>
      </c>
      <c r="E144" s="275" t="s">
        <v>26</v>
      </c>
      <c r="F144" s="275">
        <v>26</v>
      </c>
      <c r="G144" s="234" t="s">
        <v>68</v>
      </c>
      <c r="H144" s="277">
        <v>4.9000000000000004</v>
      </c>
      <c r="I144" s="263">
        <v>183</v>
      </c>
      <c r="J144" s="263">
        <v>153</v>
      </c>
      <c r="K144" s="277">
        <v>4.9000000000000004</v>
      </c>
      <c r="L144" s="263"/>
      <c r="M144" s="280" t="s">
        <v>115</v>
      </c>
      <c r="N144" s="234" t="s">
        <v>375</v>
      </c>
      <c r="O144" s="281">
        <v>44201</v>
      </c>
      <c r="P144" s="275" t="s">
        <v>62</v>
      </c>
      <c r="Q144" s="263" t="s">
        <v>61</v>
      </c>
      <c r="R144" s="233"/>
      <c r="S144" s="282"/>
      <c r="T144" s="265"/>
      <c r="U144" s="265"/>
      <c r="V144" s="266" t="s">
        <v>51</v>
      </c>
      <c r="X144" s="240"/>
      <c r="Y144" s="268"/>
      <c r="Z144" s="240"/>
      <c r="AA144" s="241"/>
    </row>
    <row r="145" spans="1:27" s="267" customFormat="1">
      <c r="A145" s="232">
        <v>137</v>
      </c>
      <c r="B145" s="275" t="s">
        <v>27</v>
      </c>
      <c r="C145" s="275">
        <v>4</v>
      </c>
      <c r="D145" s="276" t="s">
        <v>22</v>
      </c>
      <c r="E145" s="275" t="s">
        <v>26</v>
      </c>
      <c r="F145" s="275">
        <v>51</v>
      </c>
      <c r="G145" s="234" t="s">
        <v>74</v>
      </c>
      <c r="H145" s="277">
        <v>7.1</v>
      </c>
      <c r="I145" s="263">
        <v>280</v>
      </c>
      <c r="J145" s="263">
        <v>205</v>
      </c>
      <c r="K145" s="277">
        <v>7.1</v>
      </c>
      <c r="L145" s="263"/>
      <c r="M145" s="280" t="s">
        <v>115</v>
      </c>
      <c r="N145" s="234" t="s">
        <v>365</v>
      </c>
      <c r="O145" s="281">
        <v>44201</v>
      </c>
      <c r="P145" s="275" t="s">
        <v>62</v>
      </c>
      <c r="Q145" s="263" t="s">
        <v>61</v>
      </c>
      <c r="R145" s="233"/>
      <c r="S145" s="282"/>
      <c r="T145" s="265"/>
      <c r="U145" s="265"/>
      <c r="V145" s="266" t="s">
        <v>51</v>
      </c>
      <c r="X145" s="240"/>
      <c r="Y145" s="268"/>
      <c r="Z145" s="240"/>
      <c r="AA145" s="241"/>
    </row>
    <row r="146" spans="1:27" s="267" customFormat="1">
      <c r="A146" s="232">
        <v>138</v>
      </c>
      <c r="B146" s="275" t="s">
        <v>27</v>
      </c>
      <c r="C146" s="275">
        <v>2</v>
      </c>
      <c r="D146" s="276" t="s">
        <v>281</v>
      </c>
      <c r="E146" s="275" t="s">
        <v>26</v>
      </c>
      <c r="F146" s="275">
        <v>30</v>
      </c>
      <c r="G146" s="234" t="s">
        <v>67</v>
      </c>
      <c r="H146" s="277">
        <v>11</v>
      </c>
      <c r="I146" s="263">
        <v>857</v>
      </c>
      <c r="J146" s="263">
        <f>676+36</f>
        <v>712</v>
      </c>
      <c r="K146" s="277">
        <v>11</v>
      </c>
      <c r="L146" s="263"/>
      <c r="M146" s="280" t="s">
        <v>115</v>
      </c>
      <c r="N146" s="234" t="s">
        <v>376</v>
      </c>
      <c r="O146" s="281">
        <v>44200</v>
      </c>
      <c r="P146" s="275" t="s">
        <v>62</v>
      </c>
      <c r="Q146" s="263" t="s">
        <v>61</v>
      </c>
      <c r="R146" s="233"/>
      <c r="S146" s="282"/>
      <c r="T146" s="265"/>
      <c r="U146" s="265"/>
      <c r="V146" s="266" t="s">
        <v>51</v>
      </c>
      <c r="X146" s="240"/>
      <c r="Y146" s="268"/>
      <c r="Z146" s="240"/>
      <c r="AA146" s="241"/>
    </row>
    <row r="147" spans="1:27" s="267" customFormat="1">
      <c r="A147" s="232">
        <v>139</v>
      </c>
      <c r="B147" s="275" t="s">
        <v>20</v>
      </c>
      <c r="C147" s="275">
        <v>4</v>
      </c>
      <c r="D147" s="276" t="s">
        <v>31</v>
      </c>
      <c r="E147" s="275" t="s">
        <v>26</v>
      </c>
      <c r="F147" s="275">
        <v>12</v>
      </c>
      <c r="G147" s="234" t="s">
        <v>101</v>
      </c>
      <c r="H147" s="277">
        <v>2.8</v>
      </c>
      <c r="I147" s="263">
        <v>6</v>
      </c>
      <c r="J147" s="263"/>
      <c r="K147" s="277">
        <v>2.8</v>
      </c>
      <c r="L147" s="277"/>
      <c r="M147" s="280" t="s">
        <v>115</v>
      </c>
      <c r="N147" s="234" t="s">
        <v>379</v>
      </c>
      <c r="O147" s="281">
        <v>44211</v>
      </c>
      <c r="P147" s="275" t="s">
        <v>64</v>
      </c>
      <c r="Q147" s="263" t="s">
        <v>16</v>
      </c>
      <c r="R147" s="233"/>
      <c r="S147" s="282"/>
      <c r="T147" s="265"/>
      <c r="U147" s="265"/>
      <c r="V147" s="266" t="s">
        <v>51</v>
      </c>
      <c r="X147" s="240"/>
      <c r="Y147" s="268"/>
      <c r="Z147" s="240"/>
      <c r="AA147" s="241"/>
    </row>
    <row r="148" spans="1:27" s="267" customFormat="1">
      <c r="A148" s="232">
        <v>140</v>
      </c>
      <c r="B148" s="275" t="s">
        <v>20</v>
      </c>
      <c r="C148" s="275">
        <v>2</v>
      </c>
      <c r="D148" s="276" t="s">
        <v>31</v>
      </c>
      <c r="E148" s="275" t="s">
        <v>26</v>
      </c>
      <c r="F148" s="275">
        <v>18</v>
      </c>
      <c r="G148" s="234" t="s">
        <v>378</v>
      </c>
      <c r="H148" s="277">
        <v>1.2</v>
      </c>
      <c r="I148" s="263">
        <v>6</v>
      </c>
      <c r="J148" s="263">
        <v>1</v>
      </c>
      <c r="K148" s="277">
        <v>1.2</v>
      </c>
      <c r="L148" s="277"/>
      <c r="M148" s="280" t="s">
        <v>115</v>
      </c>
      <c r="N148" s="234" t="s">
        <v>379</v>
      </c>
      <c r="O148" s="281">
        <v>44211</v>
      </c>
      <c r="P148" s="275" t="s">
        <v>64</v>
      </c>
      <c r="Q148" s="263" t="s">
        <v>16</v>
      </c>
      <c r="R148" s="233"/>
      <c r="S148" s="282"/>
      <c r="T148" s="265"/>
      <c r="U148" s="265"/>
      <c r="V148" s="266" t="s">
        <v>51</v>
      </c>
      <c r="X148" s="240"/>
      <c r="Y148" s="268"/>
      <c r="Z148" s="240"/>
      <c r="AA148" s="241"/>
    </row>
    <row r="149" spans="1:27" s="267" customFormat="1">
      <c r="A149" s="232">
        <v>141</v>
      </c>
      <c r="B149" s="275" t="s">
        <v>20</v>
      </c>
      <c r="C149" s="275">
        <v>2</v>
      </c>
      <c r="D149" s="276" t="s">
        <v>31</v>
      </c>
      <c r="E149" s="275" t="s">
        <v>26</v>
      </c>
      <c r="F149" s="275">
        <v>19</v>
      </c>
      <c r="G149" s="234" t="s">
        <v>103</v>
      </c>
      <c r="H149" s="277">
        <v>1.7</v>
      </c>
      <c r="I149" s="263">
        <v>14</v>
      </c>
      <c r="J149" s="263">
        <v>2</v>
      </c>
      <c r="K149" s="277">
        <v>1.7</v>
      </c>
      <c r="L149" s="277"/>
      <c r="M149" s="280" t="s">
        <v>115</v>
      </c>
      <c r="N149" s="234" t="s">
        <v>379</v>
      </c>
      <c r="O149" s="281">
        <v>44211</v>
      </c>
      <c r="P149" s="275" t="s">
        <v>64</v>
      </c>
      <c r="Q149" s="263" t="s">
        <v>16</v>
      </c>
      <c r="R149" s="233"/>
      <c r="S149" s="282"/>
      <c r="T149" s="265"/>
      <c r="U149" s="265"/>
      <c r="V149" s="266" t="s">
        <v>51</v>
      </c>
      <c r="X149" s="240"/>
      <c r="Y149" s="268"/>
      <c r="Z149" s="240"/>
      <c r="AA149" s="241"/>
    </row>
    <row r="150" spans="1:27" s="267" customFormat="1">
      <c r="A150" s="232">
        <v>142</v>
      </c>
      <c r="B150" s="275" t="s">
        <v>20</v>
      </c>
      <c r="C150" s="275">
        <v>4</v>
      </c>
      <c r="D150" s="276" t="s">
        <v>31</v>
      </c>
      <c r="E150" s="275" t="s">
        <v>26</v>
      </c>
      <c r="F150" s="275">
        <v>30</v>
      </c>
      <c r="G150" s="234" t="s">
        <v>100</v>
      </c>
      <c r="H150" s="277">
        <v>0.3</v>
      </c>
      <c r="I150" s="263">
        <v>1</v>
      </c>
      <c r="J150" s="263"/>
      <c r="K150" s="277">
        <v>0.3</v>
      </c>
      <c r="L150" s="277"/>
      <c r="M150" s="280" t="s">
        <v>115</v>
      </c>
      <c r="N150" s="234" t="s">
        <v>379</v>
      </c>
      <c r="O150" s="281">
        <v>44211</v>
      </c>
      <c r="P150" s="275" t="s">
        <v>64</v>
      </c>
      <c r="Q150" s="263" t="s">
        <v>16</v>
      </c>
      <c r="R150" s="233"/>
      <c r="S150" s="282"/>
      <c r="T150" s="265"/>
      <c r="U150" s="265"/>
      <c r="V150" s="266" t="s">
        <v>33</v>
      </c>
      <c r="X150" s="240"/>
      <c r="Y150" s="268"/>
      <c r="Z150" s="240"/>
      <c r="AA150" s="241"/>
    </row>
    <row r="151" spans="1:27" s="267" customFormat="1">
      <c r="A151" s="232">
        <v>143</v>
      </c>
      <c r="B151" s="275" t="s">
        <v>20</v>
      </c>
      <c r="C151" s="275">
        <v>4</v>
      </c>
      <c r="D151" s="276" t="s">
        <v>31</v>
      </c>
      <c r="E151" s="275" t="s">
        <v>28</v>
      </c>
      <c r="F151" s="275">
        <v>4</v>
      </c>
      <c r="G151" s="234" t="s">
        <v>99</v>
      </c>
      <c r="H151" s="277">
        <v>2.2999999999999998</v>
      </c>
      <c r="I151" s="263">
        <v>3</v>
      </c>
      <c r="J151" s="263"/>
      <c r="K151" s="277">
        <v>2.2999999999999998</v>
      </c>
      <c r="L151" s="277"/>
      <c r="M151" s="280" t="s">
        <v>115</v>
      </c>
      <c r="N151" s="234" t="s">
        <v>379</v>
      </c>
      <c r="O151" s="281">
        <v>44211</v>
      </c>
      <c r="P151" s="275" t="s">
        <v>64</v>
      </c>
      <c r="Q151" s="263" t="s">
        <v>16</v>
      </c>
      <c r="R151" s="233"/>
      <c r="S151" s="282"/>
      <c r="T151" s="265"/>
      <c r="U151" s="265"/>
      <c r="V151" s="266" t="s">
        <v>33</v>
      </c>
      <c r="X151" s="240"/>
      <c r="Y151" s="268"/>
      <c r="Z151" s="240"/>
      <c r="AA151" s="241"/>
    </row>
    <row r="152" spans="1:27" s="267" customFormat="1">
      <c r="A152" s="232">
        <v>144</v>
      </c>
      <c r="B152" s="275" t="s">
        <v>20</v>
      </c>
      <c r="C152" s="275">
        <v>4</v>
      </c>
      <c r="D152" s="276" t="s">
        <v>31</v>
      </c>
      <c r="E152" s="275" t="s">
        <v>26</v>
      </c>
      <c r="F152" s="275">
        <v>6</v>
      </c>
      <c r="G152" s="234" t="s">
        <v>377</v>
      </c>
      <c r="H152" s="277">
        <v>1.1000000000000001</v>
      </c>
      <c r="I152" s="263">
        <v>3</v>
      </c>
      <c r="J152" s="263"/>
      <c r="K152" s="277">
        <v>1.1000000000000001</v>
      </c>
      <c r="L152" s="277"/>
      <c r="M152" s="280" t="s">
        <v>115</v>
      </c>
      <c r="N152" s="234" t="s">
        <v>379</v>
      </c>
      <c r="O152" s="281">
        <v>44211</v>
      </c>
      <c r="P152" s="275" t="s">
        <v>64</v>
      </c>
      <c r="Q152" s="263" t="s">
        <v>16</v>
      </c>
      <c r="R152" s="233"/>
      <c r="S152" s="282"/>
      <c r="T152" s="265"/>
      <c r="U152" s="265"/>
      <c r="V152" s="266" t="s">
        <v>33</v>
      </c>
      <c r="X152" s="240"/>
      <c r="Y152" s="268"/>
      <c r="Z152" s="240"/>
      <c r="AA152" s="241"/>
    </row>
    <row r="153" spans="1:27" s="267" customFormat="1">
      <c r="A153" s="232">
        <v>145</v>
      </c>
      <c r="B153" s="275" t="s">
        <v>20</v>
      </c>
      <c r="C153" s="275">
        <v>2</v>
      </c>
      <c r="D153" s="276" t="s">
        <v>31</v>
      </c>
      <c r="E153" s="275" t="s">
        <v>26</v>
      </c>
      <c r="F153" s="275">
        <v>46</v>
      </c>
      <c r="G153" s="234" t="s">
        <v>67</v>
      </c>
      <c r="H153" s="277">
        <v>1.1000000000000001</v>
      </c>
      <c r="I153" s="263">
        <v>3</v>
      </c>
      <c r="J153" s="263"/>
      <c r="K153" s="277">
        <v>1.1000000000000001</v>
      </c>
      <c r="L153" s="277"/>
      <c r="M153" s="280" t="s">
        <v>115</v>
      </c>
      <c r="N153" s="234" t="s">
        <v>379</v>
      </c>
      <c r="O153" s="281">
        <v>44211</v>
      </c>
      <c r="P153" s="275" t="s">
        <v>64</v>
      </c>
      <c r="Q153" s="263" t="s">
        <v>16</v>
      </c>
      <c r="R153" s="233"/>
      <c r="S153" s="282"/>
      <c r="T153" s="265"/>
      <c r="U153" s="265"/>
      <c r="V153" s="266" t="s">
        <v>33</v>
      </c>
      <c r="X153" s="240"/>
      <c r="Y153" s="268"/>
      <c r="Z153" s="240"/>
      <c r="AA153" s="241"/>
    </row>
    <row r="154" spans="1:27" s="267" customFormat="1">
      <c r="A154" s="232">
        <v>146</v>
      </c>
      <c r="B154" s="275" t="s">
        <v>20</v>
      </c>
      <c r="C154" s="275">
        <v>2</v>
      </c>
      <c r="D154" s="276" t="s">
        <v>31</v>
      </c>
      <c r="E154" s="275" t="s">
        <v>26</v>
      </c>
      <c r="F154" s="275">
        <v>45</v>
      </c>
      <c r="G154" s="234" t="s">
        <v>75</v>
      </c>
      <c r="H154" s="277">
        <v>2.2000000000000002</v>
      </c>
      <c r="I154" s="263">
        <v>24</v>
      </c>
      <c r="J154" s="263">
        <v>2</v>
      </c>
      <c r="K154" s="277">
        <v>2.2000000000000002</v>
      </c>
      <c r="L154" s="277"/>
      <c r="M154" s="280" t="s">
        <v>115</v>
      </c>
      <c r="N154" s="234" t="s">
        <v>379</v>
      </c>
      <c r="O154" s="281">
        <v>44211</v>
      </c>
      <c r="P154" s="275" t="s">
        <v>64</v>
      </c>
      <c r="Q154" s="263" t="s">
        <v>16</v>
      </c>
      <c r="R154" s="233"/>
      <c r="S154" s="282"/>
      <c r="T154" s="265"/>
      <c r="U154" s="265"/>
      <c r="V154" s="266" t="s">
        <v>51</v>
      </c>
      <c r="X154" s="240"/>
      <c r="Y154" s="268"/>
      <c r="Z154" s="240"/>
      <c r="AA154" s="241"/>
    </row>
    <row r="155" spans="1:27" s="267" customFormat="1">
      <c r="A155" s="232">
        <v>147</v>
      </c>
      <c r="B155" s="275" t="s">
        <v>20</v>
      </c>
      <c r="C155" s="275">
        <v>2</v>
      </c>
      <c r="D155" s="276" t="s">
        <v>31</v>
      </c>
      <c r="E155" s="275" t="s">
        <v>28</v>
      </c>
      <c r="F155" s="275">
        <v>19</v>
      </c>
      <c r="G155" s="234" t="s">
        <v>69</v>
      </c>
      <c r="H155" s="277">
        <v>2.7</v>
      </c>
      <c r="I155" s="263">
        <v>5</v>
      </c>
      <c r="J155" s="263"/>
      <c r="K155" s="277">
        <v>2.7</v>
      </c>
      <c r="L155" s="277"/>
      <c r="M155" s="280" t="s">
        <v>115</v>
      </c>
      <c r="N155" s="234" t="s">
        <v>379</v>
      </c>
      <c r="O155" s="281">
        <v>44211</v>
      </c>
      <c r="P155" s="275" t="s">
        <v>64</v>
      </c>
      <c r="Q155" s="263" t="s">
        <v>16</v>
      </c>
      <c r="R155" s="233"/>
      <c r="S155" s="282"/>
      <c r="T155" s="265"/>
      <c r="U155" s="265"/>
      <c r="V155" s="266" t="s">
        <v>51</v>
      </c>
      <c r="X155" s="240"/>
      <c r="Y155" s="268"/>
      <c r="Z155" s="240"/>
      <c r="AA155" s="241"/>
    </row>
    <row r="156" spans="1:27" s="267" customFormat="1">
      <c r="A156" s="232">
        <v>148</v>
      </c>
      <c r="B156" s="275" t="s">
        <v>20</v>
      </c>
      <c r="C156" s="275">
        <v>4</v>
      </c>
      <c r="D156" s="276" t="s">
        <v>23</v>
      </c>
      <c r="E156" s="275" t="s">
        <v>26</v>
      </c>
      <c r="F156" s="275">
        <v>31</v>
      </c>
      <c r="G156" s="234" t="s">
        <v>72</v>
      </c>
      <c r="H156" s="277">
        <v>0.5</v>
      </c>
      <c r="I156" s="263">
        <v>9</v>
      </c>
      <c r="J156" s="263">
        <v>5</v>
      </c>
      <c r="K156" s="277">
        <v>0.5</v>
      </c>
      <c r="L156" s="277"/>
      <c r="M156" s="280" t="s">
        <v>115</v>
      </c>
      <c r="N156" s="234" t="s">
        <v>380</v>
      </c>
      <c r="O156" s="281">
        <v>44211</v>
      </c>
      <c r="P156" s="275" t="s">
        <v>64</v>
      </c>
      <c r="Q156" s="263" t="s">
        <v>16</v>
      </c>
      <c r="R156" s="233"/>
      <c r="S156" s="282"/>
      <c r="T156" s="265"/>
      <c r="U156" s="265"/>
      <c r="V156" s="266" t="s">
        <v>51</v>
      </c>
      <c r="X156" s="240"/>
      <c r="Y156" s="268"/>
      <c r="Z156" s="240"/>
      <c r="AA156" s="241"/>
    </row>
    <row r="157" spans="1:27" s="267" customFormat="1">
      <c r="A157" s="232">
        <v>149</v>
      </c>
      <c r="B157" s="275" t="s">
        <v>20</v>
      </c>
      <c r="C157" s="275">
        <v>4</v>
      </c>
      <c r="D157" s="276" t="s">
        <v>23</v>
      </c>
      <c r="E157" s="275" t="s">
        <v>26</v>
      </c>
      <c r="F157" s="275">
        <v>36</v>
      </c>
      <c r="G157" s="234" t="s">
        <v>75</v>
      </c>
      <c r="H157" s="277">
        <v>0.7</v>
      </c>
      <c r="I157" s="263">
        <v>9</v>
      </c>
      <c r="J157" s="263">
        <v>9</v>
      </c>
      <c r="K157" s="277">
        <v>0.7</v>
      </c>
      <c r="L157" s="277"/>
      <c r="M157" s="280" t="s">
        <v>115</v>
      </c>
      <c r="N157" s="234" t="s">
        <v>380</v>
      </c>
      <c r="O157" s="281">
        <v>44211</v>
      </c>
      <c r="P157" s="275" t="s">
        <v>64</v>
      </c>
      <c r="Q157" s="263" t="s">
        <v>16</v>
      </c>
      <c r="R157" s="233"/>
      <c r="S157" s="282"/>
      <c r="T157" s="265"/>
      <c r="U157" s="265"/>
      <c r="V157" s="266" t="s">
        <v>51</v>
      </c>
      <c r="X157" s="240"/>
      <c r="Y157" s="268"/>
      <c r="Z157" s="240"/>
      <c r="AA157" s="241"/>
    </row>
    <row r="158" spans="1:27" s="267" customFormat="1">
      <c r="A158" s="232">
        <v>150</v>
      </c>
      <c r="B158" s="275" t="s">
        <v>20</v>
      </c>
      <c r="C158" s="275">
        <v>2</v>
      </c>
      <c r="D158" s="276" t="s">
        <v>23</v>
      </c>
      <c r="E158" s="275" t="s">
        <v>28</v>
      </c>
      <c r="F158" s="275">
        <v>44</v>
      </c>
      <c r="G158" s="234" t="s">
        <v>88</v>
      </c>
      <c r="H158" s="277">
        <v>0.5</v>
      </c>
      <c r="I158" s="263">
        <v>12</v>
      </c>
      <c r="J158" s="263">
        <v>3</v>
      </c>
      <c r="K158" s="277">
        <v>0.5</v>
      </c>
      <c r="L158" s="277"/>
      <c r="M158" s="280" t="s">
        <v>115</v>
      </c>
      <c r="N158" s="234" t="s">
        <v>380</v>
      </c>
      <c r="O158" s="281">
        <v>44211</v>
      </c>
      <c r="P158" s="275" t="s">
        <v>64</v>
      </c>
      <c r="Q158" s="263" t="s">
        <v>16</v>
      </c>
      <c r="R158" s="233"/>
      <c r="S158" s="282"/>
      <c r="T158" s="265"/>
      <c r="U158" s="265"/>
      <c r="V158" s="266" t="s">
        <v>33</v>
      </c>
      <c r="X158" s="240"/>
      <c r="Y158" s="268"/>
      <c r="Z158" s="240"/>
      <c r="AA158" s="241"/>
    </row>
    <row r="159" spans="1:27" s="267" customFormat="1">
      <c r="A159" s="232">
        <v>151</v>
      </c>
      <c r="B159" s="275" t="s">
        <v>20</v>
      </c>
      <c r="C159" s="275">
        <v>2</v>
      </c>
      <c r="D159" s="276" t="s">
        <v>23</v>
      </c>
      <c r="E159" s="275" t="s">
        <v>28</v>
      </c>
      <c r="F159" s="275">
        <v>45</v>
      </c>
      <c r="G159" s="234" t="s">
        <v>71</v>
      </c>
      <c r="H159" s="277">
        <v>0.5</v>
      </c>
      <c r="I159" s="263">
        <v>10</v>
      </c>
      <c r="J159" s="263">
        <v>8</v>
      </c>
      <c r="K159" s="277">
        <v>0.5</v>
      </c>
      <c r="L159" s="277"/>
      <c r="M159" s="280" t="s">
        <v>115</v>
      </c>
      <c r="N159" s="234" t="s">
        <v>380</v>
      </c>
      <c r="O159" s="281">
        <v>44211</v>
      </c>
      <c r="P159" s="275" t="s">
        <v>64</v>
      </c>
      <c r="Q159" s="263" t="s">
        <v>16</v>
      </c>
      <c r="R159" s="233"/>
      <c r="S159" s="282"/>
      <c r="T159" s="265"/>
      <c r="U159" s="265"/>
      <c r="V159" s="266" t="s">
        <v>33</v>
      </c>
      <c r="X159" s="240"/>
      <c r="Y159" s="268"/>
      <c r="Z159" s="240"/>
      <c r="AA159" s="241"/>
    </row>
    <row r="160" spans="1:27" s="267" customFormat="1">
      <c r="A160" s="232">
        <v>152</v>
      </c>
      <c r="B160" s="275" t="s">
        <v>20</v>
      </c>
      <c r="C160" s="275">
        <v>4</v>
      </c>
      <c r="D160" s="276" t="s">
        <v>23</v>
      </c>
      <c r="E160" s="275" t="s">
        <v>26</v>
      </c>
      <c r="F160" s="275">
        <v>8</v>
      </c>
      <c r="G160" s="234" t="s">
        <v>82</v>
      </c>
      <c r="H160" s="277">
        <v>1.4</v>
      </c>
      <c r="I160" s="263">
        <v>11</v>
      </c>
      <c r="J160" s="263">
        <v>3</v>
      </c>
      <c r="K160" s="277">
        <v>1.4</v>
      </c>
      <c r="L160" s="277"/>
      <c r="M160" s="280" t="s">
        <v>115</v>
      </c>
      <c r="N160" s="234" t="s">
        <v>380</v>
      </c>
      <c r="O160" s="281">
        <v>44211</v>
      </c>
      <c r="P160" s="275" t="s">
        <v>64</v>
      </c>
      <c r="Q160" s="263" t="s">
        <v>16</v>
      </c>
      <c r="R160" s="233"/>
      <c r="S160" s="282"/>
      <c r="T160" s="265"/>
      <c r="U160" s="265"/>
      <c r="V160" s="266" t="s">
        <v>33</v>
      </c>
      <c r="X160" s="240"/>
      <c r="Y160" s="268"/>
      <c r="Z160" s="240"/>
      <c r="AA160" s="241"/>
    </row>
    <row r="161" spans="1:27" s="267" customFormat="1">
      <c r="A161" s="232">
        <v>153</v>
      </c>
      <c r="B161" s="275" t="s">
        <v>20</v>
      </c>
      <c r="C161" s="275">
        <v>4</v>
      </c>
      <c r="D161" s="276" t="s">
        <v>23</v>
      </c>
      <c r="E161" s="275" t="s">
        <v>26</v>
      </c>
      <c r="F161" s="275">
        <v>2</v>
      </c>
      <c r="G161" s="234" t="s">
        <v>85</v>
      </c>
      <c r="H161" s="277">
        <v>0.5</v>
      </c>
      <c r="I161" s="263">
        <v>3</v>
      </c>
      <c r="J161" s="263">
        <v>2</v>
      </c>
      <c r="K161" s="277">
        <v>0.5</v>
      </c>
      <c r="L161" s="277"/>
      <c r="M161" s="280" t="s">
        <v>115</v>
      </c>
      <c r="N161" s="234" t="s">
        <v>380</v>
      </c>
      <c r="O161" s="281">
        <v>44211</v>
      </c>
      <c r="P161" s="275" t="s">
        <v>64</v>
      </c>
      <c r="Q161" s="263" t="s">
        <v>16</v>
      </c>
      <c r="R161" s="233"/>
      <c r="S161" s="282"/>
      <c r="T161" s="265"/>
      <c r="U161" s="265"/>
      <c r="V161" s="266" t="s">
        <v>33</v>
      </c>
      <c r="X161" s="240"/>
      <c r="Y161" s="268"/>
      <c r="Z161" s="240"/>
      <c r="AA161" s="241"/>
    </row>
    <row r="162" spans="1:27" s="267" customFormat="1">
      <c r="A162" s="232">
        <v>154</v>
      </c>
      <c r="B162" s="275" t="s">
        <v>20</v>
      </c>
      <c r="C162" s="275">
        <v>4</v>
      </c>
      <c r="D162" s="276" t="s">
        <v>23</v>
      </c>
      <c r="E162" s="275" t="s">
        <v>26</v>
      </c>
      <c r="F162" s="275">
        <v>31</v>
      </c>
      <c r="G162" s="234" t="s">
        <v>80</v>
      </c>
      <c r="H162" s="277">
        <v>2.1</v>
      </c>
      <c r="I162" s="263">
        <v>18</v>
      </c>
      <c r="J162" s="263">
        <v>1</v>
      </c>
      <c r="K162" s="277">
        <v>2.1</v>
      </c>
      <c r="L162" s="277"/>
      <c r="M162" s="280" t="s">
        <v>115</v>
      </c>
      <c r="N162" s="234" t="s">
        <v>380</v>
      </c>
      <c r="O162" s="281">
        <v>44211</v>
      </c>
      <c r="P162" s="275" t="s">
        <v>64</v>
      </c>
      <c r="Q162" s="263" t="s">
        <v>16</v>
      </c>
      <c r="R162" s="233"/>
      <c r="S162" s="282"/>
      <c r="T162" s="265"/>
      <c r="U162" s="265"/>
      <c r="V162" s="266" t="s">
        <v>33</v>
      </c>
      <c r="X162" s="240"/>
      <c r="Y162" s="268"/>
      <c r="Z162" s="240"/>
      <c r="AA162" s="241"/>
    </row>
    <row r="163" spans="1:27" s="267" customFormat="1">
      <c r="A163" s="232">
        <v>155</v>
      </c>
      <c r="B163" s="275" t="s">
        <v>20</v>
      </c>
      <c r="C163" s="275">
        <v>4</v>
      </c>
      <c r="D163" s="276" t="s">
        <v>24</v>
      </c>
      <c r="E163" s="275" t="s">
        <v>26</v>
      </c>
      <c r="F163" s="275">
        <v>10</v>
      </c>
      <c r="G163" s="234" t="s">
        <v>77</v>
      </c>
      <c r="H163" s="277">
        <v>3</v>
      </c>
      <c r="I163" s="263">
        <v>40</v>
      </c>
      <c r="J163" s="263">
        <v>40</v>
      </c>
      <c r="K163" s="277">
        <v>3</v>
      </c>
      <c r="L163" s="277"/>
      <c r="M163" s="280" t="s">
        <v>115</v>
      </c>
      <c r="N163" s="234" t="s">
        <v>381</v>
      </c>
      <c r="O163" s="281">
        <v>44201</v>
      </c>
      <c r="P163" s="275" t="s">
        <v>64</v>
      </c>
      <c r="Q163" s="263" t="s">
        <v>16</v>
      </c>
      <c r="R163" s="233"/>
      <c r="S163" s="282"/>
      <c r="T163" s="265"/>
      <c r="U163" s="265"/>
      <c r="V163" s="266" t="s">
        <v>52</v>
      </c>
      <c r="X163" s="240"/>
      <c r="Y163" s="268"/>
      <c r="Z163" s="240"/>
      <c r="AA163" s="241"/>
    </row>
    <row r="164" spans="1:27" s="267" customFormat="1">
      <c r="A164" s="232">
        <v>156</v>
      </c>
      <c r="B164" s="275" t="s">
        <v>20</v>
      </c>
      <c r="C164" s="275">
        <v>4</v>
      </c>
      <c r="D164" s="276" t="s">
        <v>24</v>
      </c>
      <c r="E164" s="275" t="s">
        <v>26</v>
      </c>
      <c r="F164" s="275">
        <v>10</v>
      </c>
      <c r="G164" s="234" t="s">
        <v>69</v>
      </c>
      <c r="H164" s="277">
        <v>1.5</v>
      </c>
      <c r="I164" s="263">
        <v>26</v>
      </c>
      <c r="J164" s="263">
        <v>26</v>
      </c>
      <c r="K164" s="277">
        <v>1.5</v>
      </c>
      <c r="L164" s="277"/>
      <c r="M164" s="280" t="s">
        <v>115</v>
      </c>
      <c r="N164" s="234" t="s">
        <v>381</v>
      </c>
      <c r="O164" s="281">
        <v>44201</v>
      </c>
      <c r="P164" s="275" t="s">
        <v>64</v>
      </c>
      <c r="Q164" s="263" t="s">
        <v>16</v>
      </c>
      <c r="R164" s="233"/>
      <c r="S164" s="282"/>
      <c r="T164" s="265"/>
      <c r="U164" s="265"/>
      <c r="V164" s="266" t="s">
        <v>52</v>
      </c>
      <c r="X164" s="240"/>
      <c r="Y164" s="268"/>
      <c r="Z164" s="240"/>
      <c r="AA164" s="241"/>
    </row>
    <row r="165" spans="1:27" s="267" customFormat="1">
      <c r="A165" s="232">
        <v>157</v>
      </c>
      <c r="B165" s="275" t="s">
        <v>20</v>
      </c>
      <c r="C165" s="275">
        <v>4</v>
      </c>
      <c r="D165" s="276" t="s">
        <v>24</v>
      </c>
      <c r="E165" s="275" t="s">
        <v>26</v>
      </c>
      <c r="F165" s="275">
        <v>15</v>
      </c>
      <c r="G165" s="234" t="s">
        <v>69</v>
      </c>
      <c r="H165" s="277">
        <v>7.5</v>
      </c>
      <c r="I165" s="263">
        <v>308</v>
      </c>
      <c r="J165" s="263">
        <v>263</v>
      </c>
      <c r="K165" s="277">
        <v>7.5</v>
      </c>
      <c r="L165" s="277"/>
      <c r="M165" s="280" t="s">
        <v>115</v>
      </c>
      <c r="N165" s="234" t="s">
        <v>381</v>
      </c>
      <c r="O165" s="281">
        <v>44201</v>
      </c>
      <c r="P165" s="275" t="s">
        <v>64</v>
      </c>
      <c r="Q165" s="263" t="s">
        <v>16</v>
      </c>
      <c r="R165" s="233"/>
      <c r="S165" s="282"/>
      <c r="T165" s="265"/>
      <c r="U165" s="265"/>
      <c r="V165" s="266" t="s">
        <v>52</v>
      </c>
      <c r="X165" s="240"/>
      <c r="Y165" s="268"/>
      <c r="Z165" s="240"/>
      <c r="AA165" s="241"/>
    </row>
    <row r="166" spans="1:27" s="267" customFormat="1">
      <c r="A166" s="232">
        <v>158</v>
      </c>
      <c r="B166" s="275" t="s">
        <v>20</v>
      </c>
      <c r="C166" s="275">
        <v>4</v>
      </c>
      <c r="D166" s="276" t="s">
        <v>24</v>
      </c>
      <c r="E166" s="275" t="s">
        <v>26</v>
      </c>
      <c r="F166" s="275">
        <v>36</v>
      </c>
      <c r="G166" s="234" t="s">
        <v>77</v>
      </c>
      <c r="H166" s="277">
        <v>1.9</v>
      </c>
      <c r="I166" s="263">
        <v>65</v>
      </c>
      <c r="J166" s="263">
        <v>64</v>
      </c>
      <c r="K166" s="277">
        <v>1.9</v>
      </c>
      <c r="L166" s="277"/>
      <c r="M166" s="280" t="s">
        <v>115</v>
      </c>
      <c r="N166" s="234" t="s">
        <v>381</v>
      </c>
      <c r="O166" s="281">
        <v>44201</v>
      </c>
      <c r="P166" s="275" t="s">
        <v>64</v>
      </c>
      <c r="Q166" s="263" t="s">
        <v>16</v>
      </c>
      <c r="R166" s="233"/>
      <c r="S166" s="282"/>
      <c r="T166" s="265"/>
      <c r="U166" s="265"/>
      <c r="V166" s="266" t="s">
        <v>52</v>
      </c>
      <c r="X166" s="240"/>
      <c r="Y166" s="268"/>
      <c r="Z166" s="240"/>
      <c r="AA166" s="241"/>
    </row>
    <row r="167" spans="1:27" s="267" customFormat="1">
      <c r="A167" s="232">
        <v>159</v>
      </c>
      <c r="B167" s="275" t="s">
        <v>20</v>
      </c>
      <c r="C167" s="275">
        <v>4</v>
      </c>
      <c r="D167" s="276" t="s">
        <v>24</v>
      </c>
      <c r="E167" s="275" t="s">
        <v>26</v>
      </c>
      <c r="F167" s="275">
        <v>9</v>
      </c>
      <c r="G167" s="234" t="s">
        <v>92</v>
      </c>
      <c r="H167" s="277">
        <v>1.3</v>
      </c>
      <c r="I167" s="263">
        <v>36</v>
      </c>
      <c r="J167" s="263">
        <v>33</v>
      </c>
      <c r="K167" s="277">
        <v>1.3</v>
      </c>
      <c r="L167" s="277"/>
      <c r="M167" s="280" t="s">
        <v>115</v>
      </c>
      <c r="N167" s="234" t="s">
        <v>381</v>
      </c>
      <c r="O167" s="281">
        <v>44201</v>
      </c>
      <c r="P167" s="275" t="s">
        <v>64</v>
      </c>
      <c r="Q167" s="263" t="s">
        <v>16</v>
      </c>
      <c r="R167" s="233"/>
      <c r="S167" s="282"/>
      <c r="T167" s="265"/>
      <c r="U167" s="265"/>
      <c r="V167" s="266" t="s">
        <v>33</v>
      </c>
      <c r="X167" s="240"/>
      <c r="Y167" s="268"/>
      <c r="Z167" s="240"/>
      <c r="AA167" s="241"/>
    </row>
    <row r="168" spans="1:27" s="267" customFormat="1">
      <c r="A168" s="232">
        <v>160</v>
      </c>
      <c r="B168" s="275" t="s">
        <v>20</v>
      </c>
      <c r="C168" s="275">
        <v>4</v>
      </c>
      <c r="D168" s="276" t="s">
        <v>22</v>
      </c>
      <c r="E168" s="275" t="s">
        <v>26</v>
      </c>
      <c r="F168" s="275">
        <v>1</v>
      </c>
      <c r="G168" s="234" t="s">
        <v>74</v>
      </c>
      <c r="H168" s="277">
        <v>2.1</v>
      </c>
      <c r="I168" s="263">
        <v>103</v>
      </c>
      <c r="J168" s="263">
        <v>80</v>
      </c>
      <c r="K168" s="277">
        <v>2.1</v>
      </c>
      <c r="L168" s="277"/>
      <c r="M168" s="280" t="s">
        <v>115</v>
      </c>
      <c r="N168" s="234" t="s">
        <v>382</v>
      </c>
      <c r="O168" s="281">
        <v>44201</v>
      </c>
      <c r="P168" s="275" t="s">
        <v>64</v>
      </c>
      <c r="Q168" s="263" t="s">
        <v>16</v>
      </c>
      <c r="R168" s="233"/>
      <c r="S168" s="282"/>
      <c r="T168" s="265"/>
      <c r="U168" s="265"/>
      <c r="V168" s="266"/>
      <c r="X168" s="240"/>
      <c r="Y168" s="268"/>
      <c r="Z168" s="240"/>
      <c r="AA168" s="241"/>
    </row>
    <row r="169" spans="1:27" s="267" customFormat="1">
      <c r="A169" s="232">
        <v>161</v>
      </c>
      <c r="B169" s="275" t="s">
        <v>20</v>
      </c>
      <c r="C169" s="275">
        <v>4</v>
      </c>
      <c r="D169" s="276" t="s">
        <v>22</v>
      </c>
      <c r="E169" s="275" t="s">
        <v>26</v>
      </c>
      <c r="F169" s="275">
        <v>23</v>
      </c>
      <c r="G169" s="234" t="s">
        <v>87</v>
      </c>
      <c r="H169" s="277">
        <v>10</v>
      </c>
      <c r="I169" s="263">
        <v>546</v>
      </c>
      <c r="J169" s="263">
        <f>476+23</f>
        <v>499</v>
      </c>
      <c r="K169" s="277">
        <v>10</v>
      </c>
      <c r="L169" s="277"/>
      <c r="M169" s="280" t="s">
        <v>115</v>
      </c>
      <c r="N169" s="234" t="s">
        <v>382</v>
      </c>
      <c r="O169" s="281">
        <v>44201</v>
      </c>
      <c r="P169" s="275" t="s">
        <v>64</v>
      </c>
      <c r="Q169" s="263" t="s">
        <v>16</v>
      </c>
      <c r="R169" s="233"/>
      <c r="S169" s="282"/>
      <c r="T169" s="265"/>
      <c r="U169" s="265"/>
      <c r="V169" s="266"/>
      <c r="X169" s="240"/>
      <c r="Y169" s="268"/>
      <c r="Z169" s="240"/>
      <c r="AA169" s="241"/>
    </row>
    <row r="170" spans="1:27" s="267" customFormat="1">
      <c r="A170" s="232">
        <v>162</v>
      </c>
      <c r="B170" s="275" t="s">
        <v>20</v>
      </c>
      <c r="C170" s="275">
        <v>4</v>
      </c>
      <c r="D170" s="276" t="s">
        <v>22</v>
      </c>
      <c r="E170" s="275" t="s">
        <v>26</v>
      </c>
      <c r="F170" s="275">
        <v>3</v>
      </c>
      <c r="G170" s="234" t="s">
        <v>71</v>
      </c>
      <c r="H170" s="277">
        <v>2.7</v>
      </c>
      <c r="I170" s="263">
        <v>182</v>
      </c>
      <c r="J170" s="263">
        <v>147</v>
      </c>
      <c r="K170" s="277">
        <v>2.7</v>
      </c>
      <c r="L170" s="277"/>
      <c r="M170" s="280" t="s">
        <v>115</v>
      </c>
      <c r="N170" s="234" t="s">
        <v>382</v>
      </c>
      <c r="O170" s="281">
        <v>44201</v>
      </c>
      <c r="P170" s="275" t="s">
        <v>64</v>
      </c>
      <c r="Q170" s="263" t="s">
        <v>16</v>
      </c>
      <c r="R170" s="233"/>
      <c r="S170" s="282"/>
      <c r="T170" s="265"/>
      <c r="U170" s="265"/>
      <c r="V170" s="266"/>
      <c r="X170" s="240"/>
      <c r="Y170" s="268"/>
      <c r="Z170" s="240"/>
      <c r="AA170" s="241"/>
    </row>
    <row r="171" spans="1:27" s="267" customFormat="1">
      <c r="A171" s="232">
        <v>163</v>
      </c>
      <c r="B171" s="275" t="s">
        <v>20</v>
      </c>
      <c r="C171" s="275">
        <v>4</v>
      </c>
      <c r="D171" s="276" t="s">
        <v>22</v>
      </c>
      <c r="E171" s="275" t="s">
        <v>26</v>
      </c>
      <c r="F171" s="275">
        <v>30</v>
      </c>
      <c r="G171" s="234" t="s">
        <v>69</v>
      </c>
      <c r="H171" s="277">
        <v>12</v>
      </c>
      <c r="I171" s="263">
        <v>936</v>
      </c>
      <c r="J171" s="263">
        <v>790</v>
      </c>
      <c r="K171" s="277">
        <v>12</v>
      </c>
      <c r="L171" s="277"/>
      <c r="M171" s="280" t="s">
        <v>115</v>
      </c>
      <c r="N171" s="234" t="s">
        <v>382</v>
      </c>
      <c r="O171" s="281">
        <v>44201</v>
      </c>
      <c r="P171" s="275" t="s">
        <v>64</v>
      </c>
      <c r="Q171" s="263" t="s">
        <v>16</v>
      </c>
      <c r="R171" s="233"/>
      <c r="S171" s="282"/>
      <c r="T171" s="265"/>
      <c r="U171" s="265"/>
      <c r="V171" s="266"/>
      <c r="X171" s="240"/>
      <c r="Y171" s="268"/>
      <c r="Z171" s="240"/>
      <c r="AA171" s="241"/>
    </row>
    <row r="172" spans="1:27" s="267" customFormat="1">
      <c r="A172" s="232">
        <v>164</v>
      </c>
      <c r="B172" s="275" t="s">
        <v>20</v>
      </c>
      <c r="C172" s="275">
        <v>4</v>
      </c>
      <c r="D172" s="276" t="s">
        <v>32</v>
      </c>
      <c r="E172" s="275" t="s">
        <v>26</v>
      </c>
      <c r="F172" s="275">
        <v>14</v>
      </c>
      <c r="G172" s="234" t="s">
        <v>70</v>
      </c>
      <c r="H172" s="277">
        <v>8</v>
      </c>
      <c r="I172" s="263">
        <v>223</v>
      </c>
      <c r="J172" s="263">
        <v>188</v>
      </c>
      <c r="K172" s="277">
        <v>8</v>
      </c>
      <c r="L172" s="277"/>
      <c r="M172" s="280" t="s">
        <v>115</v>
      </c>
      <c r="N172" s="234" t="s">
        <v>383</v>
      </c>
      <c r="O172" s="281">
        <v>44217</v>
      </c>
      <c r="P172" s="275" t="s">
        <v>64</v>
      </c>
      <c r="Q172" s="263" t="s">
        <v>16</v>
      </c>
      <c r="R172" s="233"/>
      <c r="S172" s="282"/>
      <c r="T172" s="265"/>
      <c r="U172" s="265"/>
      <c r="V172" s="266"/>
      <c r="X172" s="240"/>
      <c r="Y172" s="268"/>
      <c r="Z172" s="240"/>
      <c r="AA172" s="241"/>
    </row>
    <row r="173" spans="1:27" s="267" customFormat="1">
      <c r="A173" s="232">
        <v>165</v>
      </c>
      <c r="B173" s="275" t="s">
        <v>20</v>
      </c>
      <c r="C173" s="275">
        <v>4</v>
      </c>
      <c r="D173" s="276" t="s">
        <v>32</v>
      </c>
      <c r="E173" s="275" t="s">
        <v>26</v>
      </c>
      <c r="F173" s="275">
        <v>14</v>
      </c>
      <c r="G173" s="234" t="s">
        <v>195</v>
      </c>
      <c r="H173" s="277">
        <v>9.3000000000000007</v>
      </c>
      <c r="I173" s="263">
        <v>243</v>
      </c>
      <c r="J173" s="263">
        <v>195</v>
      </c>
      <c r="K173" s="277">
        <v>9.3000000000000007</v>
      </c>
      <c r="L173" s="277"/>
      <c r="M173" s="280" t="s">
        <v>115</v>
      </c>
      <c r="N173" s="234" t="s">
        <v>383</v>
      </c>
      <c r="O173" s="281">
        <v>44217</v>
      </c>
      <c r="P173" s="275" t="s">
        <v>64</v>
      </c>
      <c r="Q173" s="263" t="s">
        <v>16</v>
      </c>
      <c r="R173" s="233"/>
      <c r="S173" s="282"/>
      <c r="T173" s="265"/>
      <c r="U173" s="265"/>
      <c r="V173" s="266"/>
      <c r="X173" s="240"/>
      <c r="Y173" s="268"/>
      <c r="Z173" s="240"/>
      <c r="AA173" s="241"/>
    </row>
    <row r="174" spans="1:27" s="267" customFormat="1">
      <c r="A174" s="232">
        <v>166</v>
      </c>
      <c r="B174" s="275" t="s">
        <v>20</v>
      </c>
      <c r="C174" s="275">
        <v>4</v>
      </c>
      <c r="D174" s="276" t="s">
        <v>32</v>
      </c>
      <c r="E174" s="275" t="s">
        <v>26</v>
      </c>
      <c r="F174" s="275">
        <v>14</v>
      </c>
      <c r="G174" s="234" t="s">
        <v>196</v>
      </c>
      <c r="H174" s="277">
        <v>9.1999999999999993</v>
      </c>
      <c r="I174" s="263">
        <v>212</v>
      </c>
      <c r="J174" s="263">
        <v>157</v>
      </c>
      <c r="K174" s="277">
        <v>9.1999999999999993</v>
      </c>
      <c r="L174" s="277"/>
      <c r="M174" s="280" t="s">
        <v>115</v>
      </c>
      <c r="N174" s="234" t="s">
        <v>383</v>
      </c>
      <c r="O174" s="281">
        <v>44217</v>
      </c>
      <c r="P174" s="275" t="s">
        <v>64</v>
      </c>
      <c r="Q174" s="263" t="s">
        <v>16</v>
      </c>
      <c r="R174" s="233"/>
      <c r="S174" s="282"/>
      <c r="T174" s="265"/>
      <c r="U174" s="265"/>
      <c r="V174" s="266"/>
      <c r="X174" s="240"/>
      <c r="Y174" s="268"/>
      <c r="Z174" s="240"/>
      <c r="AA174" s="241"/>
    </row>
    <row r="175" spans="1:27" s="267" customFormat="1">
      <c r="A175" s="232">
        <v>167</v>
      </c>
      <c r="B175" s="275" t="s">
        <v>20</v>
      </c>
      <c r="C175" s="275">
        <v>4</v>
      </c>
      <c r="D175" s="276" t="s">
        <v>32</v>
      </c>
      <c r="E175" s="275" t="s">
        <v>26</v>
      </c>
      <c r="F175" s="275">
        <v>21</v>
      </c>
      <c r="G175" s="234" t="s">
        <v>71</v>
      </c>
      <c r="H175" s="277">
        <v>4</v>
      </c>
      <c r="I175" s="263">
        <v>109</v>
      </c>
      <c r="J175" s="263">
        <v>83</v>
      </c>
      <c r="K175" s="277">
        <v>4</v>
      </c>
      <c r="L175" s="277"/>
      <c r="M175" s="280" t="s">
        <v>115</v>
      </c>
      <c r="N175" s="234" t="s">
        <v>383</v>
      </c>
      <c r="O175" s="281">
        <v>44217</v>
      </c>
      <c r="P175" s="275" t="s">
        <v>64</v>
      </c>
      <c r="Q175" s="263" t="s">
        <v>16</v>
      </c>
      <c r="R175" s="233"/>
      <c r="S175" s="282"/>
      <c r="T175" s="265"/>
      <c r="U175" s="265"/>
      <c r="V175" s="266"/>
      <c r="X175" s="240"/>
      <c r="Y175" s="268"/>
      <c r="Z175" s="240"/>
      <c r="AA175" s="241"/>
    </row>
    <row r="176" spans="1:27" s="267" customFormat="1">
      <c r="A176" s="232">
        <v>168</v>
      </c>
      <c r="B176" s="275" t="s">
        <v>20</v>
      </c>
      <c r="C176" s="275">
        <v>4</v>
      </c>
      <c r="D176" s="276" t="s">
        <v>32</v>
      </c>
      <c r="E176" s="275" t="s">
        <v>26</v>
      </c>
      <c r="F176" s="275">
        <v>37</v>
      </c>
      <c r="G176" s="234" t="s">
        <v>79</v>
      </c>
      <c r="H176" s="277">
        <v>1.3</v>
      </c>
      <c r="I176" s="263">
        <v>56</v>
      </c>
      <c r="J176" s="263">
        <v>46</v>
      </c>
      <c r="K176" s="277">
        <v>1.3</v>
      </c>
      <c r="L176" s="277"/>
      <c r="M176" s="280" t="s">
        <v>115</v>
      </c>
      <c r="N176" s="234" t="s">
        <v>383</v>
      </c>
      <c r="O176" s="281">
        <v>44217</v>
      </c>
      <c r="P176" s="275" t="s">
        <v>64</v>
      </c>
      <c r="Q176" s="263" t="s">
        <v>16</v>
      </c>
      <c r="R176" s="233"/>
      <c r="S176" s="282"/>
      <c r="T176" s="265"/>
      <c r="U176" s="265"/>
      <c r="V176" s="266"/>
      <c r="X176" s="240"/>
      <c r="Y176" s="268"/>
      <c r="Z176" s="240"/>
      <c r="AA176" s="241"/>
    </row>
    <row r="177" spans="1:27" s="267" customFormat="1">
      <c r="A177" s="232">
        <v>169</v>
      </c>
      <c r="B177" s="275" t="s">
        <v>20</v>
      </c>
      <c r="C177" s="275">
        <v>4</v>
      </c>
      <c r="D177" s="276" t="s">
        <v>125</v>
      </c>
      <c r="E177" s="275" t="s">
        <v>197</v>
      </c>
      <c r="F177" s="275">
        <v>10</v>
      </c>
      <c r="G177" s="234" t="s">
        <v>92</v>
      </c>
      <c r="H177" s="277">
        <v>0.3</v>
      </c>
      <c r="I177" s="263">
        <v>21</v>
      </c>
      <c r="J177" s="263">
        <v>15</v>
      </c>
      <c r="K177" s="286"/>
      <c r="L177" s="277">
        <v>0.3</v>
      </c>
      <c r="M177" s="280" t="s">
        <v>115</v>
      </c>
      <c r="N177" s="234" t="s">
        <v>384</v>
      </c>
      <c r="O177" s="281">
        <v>44217</v>
      </c>
      <c r="P177" s="275" t="s">
        <v>64</v>
      </c>
      <c r="Q177" s="263" t="s">
        <v>16</v>
      </c>
      <c r="R177" s="233"/>
      <c r="S177" s="282"/>
      <c r="T177" s="265"/>
      <c r="U177" s="265"/>
      <c r="V177" s="266"/>
      <c r="X177" s="240"/>
      <c r="Y177" s="268"/>
      <c r="Z177" s="240"/>
      <c r="AA177" s="241"/>
    </row>
    <row r="178" spans="1:27" s="267" customFormat="1">
      <c r="A178" s="232">
        <v>170</v>
      </c>
      <c r="B178" s="275" t="s">
        <v>20</v>
      </c>
      <c r="C178" s="275">
        <v>4</v>
      </c>
      <c r="D178" s="276" t="s">
        <v>125</v>
      </c>
      <c r="E178" s="275" t="s">
        <v>26</v>
      </c>
      <c r="F178" s="275">
        <v>11</v>
      </c>
      <c r="G178" s="234" t="s">
        <v>67</v>
      </c>
      <c r="H178" s="277">
        <v>0.3</v>
      </c>
      <c r="I178" s="263">
        <v>1</v>
      </c>
      <c r="J178" s="263">
        <v>1</v>
      </c>
      <c r="K178" s="286"/>
      <c r="L178" s="277">
        <v>0.3</v>
      </c>
      <c r="M178" s="280" t="s">
        <v>115</v>
      </c>
      <c r="N178" s="234" t="s">
        <v>384</v>
      </c>
      <c r="O178" s="281">
        <v>44217</v>
      </c>
      <c r="P178" s="275" t="s">
        <v>64</v>
      </c>
      <c r="Q178" s="263" t="s">
        <v>16</v>
      </c>
      <c r="R178" s="233"/>
      <c r="S178" s="282"/>
      <c r="T178" s="265"/>
      <c r="U178" s="265"/>
      <c r="V178" s="266"/>
      <c r="X178" s="240"/>
      <c r="Y178" s="268"/>
      <c r="Z178" s="240"/>
      <c r="AA178" s="241"/>
    </row>
    <row r="179" spans="1:27" s="267" customFormat="1">
      <c r="A179" s="232">
        <v>171</v>
      </c>
      <c r="B179" s="275" t="s">
        <v>20</v>
      </c>
      <c r="C179" s="275"/>
      <c r="D179" s="276" t="s">
        <v>483</v>
      </c>
      <c r="E179" s="275" t="s">
        <v>26</v>
      </c>
      <c r="F179" s="275">
        <v>4</v>
      </c>
      <c r="G179" s="234" t="s">
        <v>72</v>
      </c>
      <c r="H179" s="277">
        <v>1.7</v>
      </c>
      <c r="I179" s="263">
        <v>11</v>
      </c>
      <c r="J179" s="263">
        <v>10</v>
      </c>
      <c r="K179" s="286"/>
      <c r="L179" s="277">
        <v>1.7</v>
      </c>
      <c r="M179" s="280" t="s">
        <v>115</v>
      </c>
      <c r="N179" s="234" t="s">
        <v>496</v>
      </c>
      <c r="O179" s="281">
        <v>44515</v>
      </c>
      <c r="P179" s="275" t="s">
        <v>64</v>
      </c>
      <c r="Q179" s="263" t="s">
        <v>16</v>
      </c>
      <c r="R179" s="233"/>
      <c r="S179" s="282"/>
      <c r="T179" s="265"/>
      <c r="U179" s="265"/>
      <c r="V179" s="266"/>
      <c r="X179" s="240"/>
      <c r="Y179" s="268"/>
      <c r="Z179" s="240"/>
      <c r="AA179" s="241"/>
    </row>
    <row r="180" spans="1:27" s="267" customFormat="1">
      <c r="A180" s="232">
        <v>172</v>
      </c>
      <c r="B180" s="275" t="s">
        <v>20</v>
      </c>
      <c r="C180" s="275"/>
      <c r="D180" s="276" t="s">
        <v>483</v>
      </c>
      <c r="E180" s="275" t="s">
        <v>26</v>
      </c>
      <c r="F180" s="275">
        <v>47</v>
      </c>
      <c r="G180" s="234" t="s">
        <v>451</v>
      </c>
      <c r="H180" s="277">
        <v>2.2000000000000002</v>
      </c>
      <c r="I180" s="263">
        <v>25</v>
      </c>
      <c r="J180" s="263">
        <v>24</v>
      </c>
      <c r="K180" s="286"/>
      <c r="L180" s="277">
        <v>2.2000000000000002</v>
      </c>
      <c r="M180" s="280" t="s">
        <v>115</v>
      </c>
      <c r="N180" s="234" t="s">
        <v>496</v>
      </c>
      <c r="O180" s="281">
        <v>44515</v>
      </c>
      <c r="P180" s="275" t="s">
        <v>64</v>
      </c>
      <c r="Q180" s="263" t="s">
        <v>16</v>
      </c>
      <c r="R180" s="233"/>
      <c r="S180" s="282"/>
      <c r="T180" s="265"/>
      <c r="U180" s="265"/>
      <c r="V180" s="266"/>
      <c r="X180" s="240"/>
      <c r="Y180" s="268"/>
      <c r="Z180" s="240"/>
      <c r="AA180" s="241"/>
    </row>
    <row r="181" spans="1:27" s="267" customFormat="1">
      <c r="A181" s="232">
        <v>173</v>
      </c>
      <c r="B181" s="275" t="s">
        <v>11</v>
      </c>
      <c r="C181" s="275">
        <v>2</v>
      </c>
      <c r="D181" s="276" t="s">
        <v>31</v>
      </c>
      <c r="E181" s="275" t="s">
        <v>26</v>
      </c>
      <c r="F181" s="275">
        <v>34</v>
      </c>
      <c r="G181" s="234" t="s">
        <v>77</v>
      </c>
      <c r="H181" s="277">
        <v>3</v>
      </c>
      <c r="I181" s="263">
        <v>16</v>
      </c>
      <c r="J181" s="263"/>
      <c r="K181" s="277">
        <v>3</v>
      </c>
      <c r="L181" s="277"/>
      <c r="M181" s="280" t="s">
        <v>115</v>
      </c>
      <c r="N181" s="234" t="s">
        <v>386</v>
      </c>
      <c r="O181" s="281">
        <v>44211</v>
      </c>
      <c r="P181" s="275" t="s">
        <v>64</v>
      </c>
      <c r="Q181" s="263" t="s">
        <v>466</v>
      </c>
      <c r="R181" s="233"/>
      <c r="S181" s="282"/>
      <c r="T181" s="265"/>
      <c r="U181" s="265"/>
      <c r="V181" s="266"/>
      <c r="X181" s="240"/>
      <c r="Y181" s="268"/>
      <c r="Z181" s="240"/>
      <c r="AA181" s="241"/>
    </row>
    <row r="182" spans="1:27" s="267" customFormat="1">
      <c r="A182" s="232">
        <v>174</v>
      </c>
      <c r="B182" s="275" t="s">
        <v>11</v>
      </c>
      <c r="C182" s="275">
        <v>2</v>
      </c>
      <c r="D182" s="276" t="s">
        <v>31</v>
      </c>
      <c r="E182" s="275" t="s">
        <v>26</v>
      </c>
      <c r="F182" s="275">
        <v>35</v>
      </c>
      <c r="G182" s="234" t="s">
        <v>161</v>
      </c>
      <c r="H182" s="277">
        <v>1.9</v>
      </c>
      <c r="I182" s="263">
        <v>7</v>
      </c>
      <c r="J182" s="263"/>
      <c r="K182" s="277">
        <v>1.9</v>
      </c>
      <c r="L182" s="277"/>
      <c r="M182" s="280" t="s">
        <v>115</v>
      </c>
      <c r="N182" s="234" t="s">
        <v>386</v>
      </c>
      <c r="O182" s="281">
        <v>44211</v>
      </c>
      <c r="P182" s="275" t="s">
        <v>64</v>
      </c>
      <c r="Q182" s="263" t="s">
        <v>466</v>
      </c>
      <c r="R182" s="233"/>
      <c r="S182" s="282"/>
      <c r="T182" s="265"/>
      <c r="U182" s="265"/>
      <c r="V182" s="266"/>
      <c r="X182" s="240"/>
      <c r="Y182" s="268"/>
      <c r="Z182" s="240"/>
      <c r="AA182" s="241"/>
    </row>
    <row r="183" spans="1:27" s="267" customFormat="1">
      <c r="A183" s="232">
        <v>175</v>
      </c>
      <c r="B183" s="275" t="s">
        <v>11</v>
      </c>
      <c r="C183" s="275">
        <v>2</v>
      </c>
      <c r="D183" s="276" t="s">
        <v>31</v>
      </c>
      <c r="E183" s="275" t="s">
        <v>26</v>
      </c>
      <c r="F183" s="275">
        <v>35</v>
      </c>
      <c r="G183" s="234" t="s">
        <v>385</v>
      </c>
      <c r="H183" s="277">
        <v>0.5</v>
      </c>
      <c r="I183" s="263">
        <v>3</v>
      </c>
      <c r="J183" s="263"/>
      <c r="K183" s="277">
        <v>0.5</v>
      </c>
      <c r="L183" s="277"/>
      <c r="M183" s="280" t="s">
        <v>115</v>
      </c>
      <c r="N183" s="234" t="s">
        <v>386</v>
      </c>
      <c r="O183" s="281">
        <v>44211</v>
      </c>
      <c r="P183" s="275" t="s">
        <v>64</v>
      </c>
      <c r="Q183" s="263" t="s">
        <v>466</v>
      </c>
      <c r="R183" s="233"/>
      <c r="S183" s="282"/>
      <c r="T183" s="265"/>
      <c r="U183" s="265"/>
      <c r="V183" s="266"/>
      <c r="X183" s="240"/>
      <c r="Y183" s="268"/>
      <c r="Z183" s="240"/>
      <c r="AA183" s="241"/>
    </row>
    <row r="184" spans="1:27" s="267" customFormat="1">
      <c r="A184" s="232">
        <v>176</v>
      </c>
      <c r="B184" s="275" t="s">
        <v>11</v>
      </c>
      <c r="C184" s="275">
        <v>2</v>
      </c>
      <c r="D184" s="276" t="s">
        <v>31</v>
      </c>
      <c r="E184" s="275" t="s">
        <v>26</v>
      </c>
      <c r="F184" s="275">
        <v>4</v>
      </c>
      <c r="G184" s="234" t="s">
        <v>86</v>
      </c>
      <c r="H184" s="277">
        <v>0.8</v>
      </c>
      <c r="I184" s="263">
        <v>4</v>
      </c>
      <c r="J184" s="263"/>
      <c r="K184" s="277">
        <v>0.8</v>
      </c>
      <c r="L184" s="277"/>
      <c r="M184" s="280" t="s">
        <v>115</v>
      </c>
      <c r="N184" s="234" t="s">
        <v>386</v>
      </c>
      <c r="O184" s="281">
        <v>44211</v>
      </c>
      <c r="P184" s="275" t="s">
        <v>64</v>
      </c>
      <c r="Q184" s="263" t="s">
        <v>43</v>
      </c>
      <c r="R184" s="233"/>
      <c r="S184" s="282"/>
      <c r="T184" s="265"/>
      <c r="U184" s="265"/>
      <c r="V184" s="266"/>
      <c r="X184" s="240"/>
      <c r="Y184" s="268"/>
      <c r="Z184" s="240"/>
      <c r="AA184" s="241"/>
    </row>
    <row r="185" spans="1:27" s="267" customFormat="1">
      <c r="A185" s="232">
        <v>177</v>
      </c>
      <c r="B185" s="275" t="s">
        <v>11</v>
      </c>
      <c r="C185" s="275">
        <v>2</v>
      </c>
      <c r="D185" s="276" t="s">
        <v>31</v>
      </c>
      <c r="E185" s="275" t="s">
        <v>26</v>
      </c>
      <c r="F185" s="275">
        <v>5</v>
      </c>
      <c r="G185" s="234" t="s">
        <v>76</v>
      </c>
      <c r="H185" s="277">
        <v>2.1</v>
      </c>
      <c r="I185" s="263">
        <v>9</v>
      </c>
      <c r="J185" s="263"/>
      <c r="K185" s="277">
        <v>2.1</v>
      </c>
      <c r="L185" s="277"/>
      <c r="M185" s="280" t="s">
        <v>115</v>
      </c>
      <c r="N185" s="234" t="s">
        <v>386</v>
      </c>
      <c r="O185" s="281">
        <v>44211</v>
      </c>
      <c r="P185" s="275" t="s">
        <v>64</v>
      </c>
      <c r="Q185" s="263" t="s">
        <v>43</v>
      </c>
      <c r="R185" s="233"/>
      <c r="S185" s="282"/>
      <c r="T185" s="265"/>
      <c r="U185" s="265"/>
      <c r="V185" s="266"/>
      <c r="X185" s="240"/>
      <c r="Y185" s="268"/>
      <c r="Z185" s="240"/>
      <c r="AA185" s="241"/>
    </row>
    <row r="186" spans="1:27" s="267" customFormat="1">
      <c r="A186" s="232">
        <v>178</v>
      </c>
      <c r="B186" s="275" t="s">
        <v>11</v>
      </c>
      <c r="C186" s="275">
        <v>2</v>
      </c>
      <c r="D186" s="276" t="s">
        <v>23</v>
      </c>
      <c r="E186" s="275" t="s">
        <v>26</v>
      </c>
      <c r="F186" s="275">
        <v>33</v>
      </c>
      <c r="G186" s="234" t="s">
        <v>79</v>
      </c>
      <c r="H186" s="277">
        <v>2.7</v>
      </c>
      <c r="I186" s="263">
        <v>92</v>
      </c>
      <c r="J186" s="263">
        <v>61</v>
      </c>
      <c r="K186" s="277">
        <v>2.7</v>
      </c>
      <c r="L186" s="277"/>
      <c r="M186" s="280" t="s">
        <v>115</v>
      </c>
      <c r="N186" s="234" t="s">
        <v>387</v>
      </c>
      <c r="O186" s="281">
        <v>44211</v>
      </c>
      <c r="P186" s="275" t="s">
        <v>64</v>
      </c>
      <c r="Q186" s="263" t="s">
        <v>466</v>
      </c>
      <c r="R186" s="233"/>
      <c r="S186" s="282"/>
      <c r="T186" s="265"/>
      <c r="U186" s="265"/>
      <c r="V186" s="266"/>
      <c r="X186" s="240"/>
      <c r="Y186" s="268"/>
      <c r="Z186" s="240"/>
      <c r="AA186" s="241"/>
    </row>
    <row r="187" spans="1:27" s="267" customFormat="1">
      <c r="A187" s="232">
        <v>179</v>
      </c>
      <c r="B187" s="275" t="s">
        <v>11</v>
      </c>
      <c r="C187" s="275">
        <v>2</v>
      </c>
      <c r="D187" s="276" t="s">
        <v>23</v>
      </c>
      <c r="E187" s="275" t="s">
        <v>26</v>
      </c>
      <c r="F187" s="275">
        <v>33</v>
      </c>
      <c r="G187" s="234" t="s">
        <v>85</v>
      </c>
      <c r="H187" s="277">
        <v>4.0999999999999996</v>
      </c>
      <c r="I187" s="263">
        <v>86</v>
      </c>
      <c r="J187" s="263">
        <v>48</v>
      </c>
      <c r="K187" s="277">
        <v>4.0999999999999996</v>
      </c>
      <c r="L187" s="277"/>
      <c r="M187" s="280" t="s">
        <v>115</v>
      </c>
      <c r="N187" s="234" t="s">
        <v>387</v>
      </c>
      <c r="O187" s="281">
        <v>44211</v>
      </c>
      <c r="P187" s="275" t="s">
        <v>64</v>
      </c>
      <c r="Q187" s="263" t="s">
        <v>466</v>
      </c>
      <c r="R187" s="233"/>
      <c r="S187" s="282"/>
      <c r="T187" s="265"/>
      <c r="U187" s="265"/>
      <c r="V187" s="266"/>
      <c r="X187" s="240"/>
      <c r="Y187" s="268"/>
      <c r="Z187" s="240"/>
      <c r="AA187" s="241"/>
    </row>
    <row r="188" spans="1:27" s="267" customFormat="1">
      <c r="A188" s="232">
        <v>180</v>
      </c>
      <c r="B188" s="275" t="s">
        <v>11</v>
      </c>
      <c r="C188" s="275">
        <v>2</v>
      </c>
      <c r="D188" s="276" t="s">
        <v>23</v>
      </c>
      <c r="E188" s="275" t="s">
        <v>26</v>
      </c>
      <c r="F188" s="275">
        <v>4</v>
      </c>
      <c r="G188" s="234" t="s">
        <v>82</v>
      </c>
      <c r="H188" s="277">
        <v>1.9</v>
      </c>
      <c r="I188" s="263">
        <v>29</v>
      </c>
      <c r="J188" s="263">
        <v>15</v>
      </c>
      <c r="K188" s="277">
        <v>1.9</v>
      </c>
      <c r="L188" s="277"/>
      <c r="M188" s="280" t="s">
        <v>115</v>
      </c>
      <c r="N188" s="234" t="s">
        <v>387</v>
      </c>
      <c r="O188" s="281">
        <v>44211</v>
      </c>
      <c r="P188" s="275" t="s">
        <v>64</v>
      </c>
      <c r="Q188" s="263" t="s">
        <v>43</v>
      </c>
      <c r="R188" s="233"/>
      <c r="S188" s="282"/>
      <c r="T188" s="265"/>
      <c r="U188" s="265"/>
      <c r="V188" s="266"/>
      <c r="X188" s="240"/>
      <c r="Y188" s="268"/>
      <c r="Z188" s="240"/>
      <c r="AA188" s="241"/>
    </row>
    <row r="189" spans="1:27" s="267" customFormat="1">
      <c r="A189" s="232">
        <v>181</v>
      </c>
      <c r="B189" s="275" t="s">
        <v>11</v>
      </c>
      <c r="C189" s="275">
        <v>2</v>
      </c>
      <c r="D189" s="276" t="s">
        <v>23</v>
      </c>
      <c r="E189" s="275" t="s">
        <v>26</v>
      </c>
      <c r="F189" s="275">
        <v>5</v>
      </c>
      <c r="G189" s="234" t="s">
        <v>74</v>
      </c>
      <c r="H189" s="277">
        <v>6.4</v>
      </c>
      <c r="I189" s="263">
        <v>106</v>
      </c>
      <c r="J189" s="263">
        <v>78</v>
      </c>
      <c r="K189" s="277">
        <v>6.4</v>
      </c>
      <c r="L189" s="277"/>
      <c r="M189" s="280" t="s">
        <v>115</v>
      </c>
      <c r="N189" s="234" t="s">
        <v>387</v>
      </c>
      <c r="O189" s="281">
        <v>44211</v>
      </c>
      <c r="P189" s="275" t="s">
        <v>64</v>
      </c>
      <c r="Q189" s="263" t="s">
        <v>43</v>
      </c>
      <c r="R189" s="233"/>
      <c r="S189" s="282"/>
      <c r="T189" s="265"/>
      <c r="U189" s="265"/>
      <c r="V189" s="266"/>
      <c r="X189" s="240"/>
      <c r="Y189" s="268"/>
      <c r="Z189" s="240"/>
      <c r="AA189" s="241"/>
    </row>
    <row r="190" spans="1:27" s="267" customFormat="1">
      <c r="A190" s="232">
        <v>182</v>
      </c>
      <c r="B190" s="275" t="s">
        <v>11</v>
      </c>
      <c r="C190" s="275">
        <v>2</v>
      </c>
      <c r="D190" s="276" t="s">
        <v>23</v>
      </c>
      <c r="E190" s="275" t="s">
        <v>26</v>
      </c>
      <c r="F190" s="275">
        <v>3</v>
      </c>
      <c r="G190" s="234" t="s">
        <v>127</v>
      </c>
      <c r="H190" s="277">
        <v>0.4</v>
      </c>
      <c r="I190" s="263">
        <v>11</v>
      </c>
      <c r="J190" s="263">
        <v>3</v>
      </c>
      <c r="K190" s="277">
        <v>0.4</v>
      </c>
      <c r="L190" s="277"/>
      <c r="M190" s="280" t="s">
        <v>115</v>
      </c>
      <c r="N190" s="234" t="s">
        <v>387</v>
      </c>
      <c r="O190" s="281">
        <v>44211</v>
      </c>
      <c r="P190" s="275" t="s">
        <v>64</v>
      </c>
      <c r="Q190" s="263" t="s">
        <v>43</v>
      </c>
      <c r="R190" s="233"/>
      <c r="S190" s="282"/>
      <c r="T190" s="265"/>
      <c r="U190" s="265"/>
      <c r="V190" s="266"/>
      <c r="X190" s="240"/>
      <c r="Y190" s="268"/>
      <c r="Z190" s="240"/>
      <c r="AA190" s="241"/>
    </row>
    <row r="191" spans="1:27" s="267" customFormat="1">
      <c r="A191" s="232">
        <v>183</v>
      </c>
      <c r="B191" s="275" t="s">
        <v>11</v>
      </c>
      <c r="C191" s="275">
        <v>2</v>
      </c>
      <c r="D191" s="276" t="s">
        <v>24</v>
      </c>
      <c r="E191" s="275" t="s">
        <v>26</v>
      </c>
      <c r="F191" s="275">
        <v>10</v>
      </c>
      <c r="G191" s="234" t="s">
        <v>90</v>
      </c>
      <c r="H191" s="277">
        <v>0.6</v>
      </c>
      <c r="I191" s="263">
        <v>17</v>
      </c>
      <c r="J191" s="263">
        <v>17</v>
      </c>
      <c r="K191" s="277">
        <v>0.6</v>
      </c>
      <c r="L191" s="277"/>
      <c r="M191" s="280" t="s">
        <v>115</v>
      </c>
      <c r="N191" s="234" t="s">
        <v>391</v>
      </c>
      <c r="O191" s="281">
        <v>44201</v>
      </c>
      <c r="P191" s="275" t="s">
        <v>64</v>
      </c>
      <c r="Q191" s="263" t="s">
        <v>43</v>
      </c>
      <c r="R191" s="233"/>
      <c r="S191" s="282"/>
      <c r="T191" s="265"/>
      <c r="U191" s="265"/>
      <c r="V191" s="266"/>
      <c r="X191" s="240"/>
      <c r="Y191" s="268"/>
      <c r="Z191" s="240"/>
      <c r="AA191" s="241"/>
    </row>
    <row r="192" spans="1:27" s="267" customFormat="1">
      <c r="A192" s="232">
        <v>184</v>
      </c>
      <c r="B192" s="275" t="s">
        <v>11</v>
      </c>
      <c r="C192" s="275">
        <v>2</v>
      </c>
      <c r="D192" s="276" t="s">
        <v>167</v>
      </c>
      <c r="E192" s="275" t="s">
        <v>26</v>
      </c>
      <c r="F192" s="275">
        <v>15</v>
      </c>
      <c r="G192" s="234" t="s">
        <v>67</v>
      </c>
      <c r="H192" s="277">
        <v>5.6</v>
      </c>
      <c r="I192" s="263">
        <v>187</v>
      </c>
      <c r="J192" s="234" t="s">
        <v>390</v>
      </c>
      <c r="K192" s="277">
        <v>5.6</v>
      </c>
      <c r="L192" s="277"/>
      <c r="M192" s="280" t="s">
        <v>115</v>
      </c>
      <c r="N192" s="234" t="s">
        <v>391</v>
      </c>
      <c r="O192" s="281">
        <v>44201</v>
      </c>
      <c r="P192" s="275" t="s">
        <v>64</v>
      </c>
      <c r="Q192" s="263" t="s">
        <v>393</v>
      </c>
      <c r="R192" s="233"/>
      <c r="S192" s="282"/>
      <c r="T192" s="265"/>
      <c r="U192" s="265"/>
      <c r="V192" s="266"/>
      <c r="X192" s="240"/>
      <c r="Y192" s="268"/>
      <c r="Z192" s="240"/>
      <c r="AA192" s="241"/>
    </row>
    <row r="193" spans="1:27" s="267" customFormat="1">
      <c r="A193" s="232">
        <v>185</v>
      </c>
      <c r="B193" s="275" t="s">
        <v>11</v>
      </c>
      <c r="C193" s="275">
        <v>2</v>
      </c>
      <c r="D193" s="276" t="s">
        <v>24</v>
      </c>
      <c r="E193" s="275" t="s">
        <v>26</v>
      </c>
      <c r="F193" s="275">
        <v>8</v>
      </c>
      <c r="G193" s="234" t="s">
        <v>72</v>
      </c>
      <c r="H193" s="277">
        <v>0.7</v>
      </c>
      <c r="I193" s="263">
        <v>15</v>
      </c>
      <c r="J193" s="263">
        <v>15</v>
      </c>
      <c r="K193" s="277">
        <v>0.7</v>
      </c>
      <c r="L193" s="277"/>
      <c r="M193" s="280" t="s">
        <v>115</v>
      </c>
      <c r="N193" s="234" t="s">
        <v>391</v>
      </c>
      <c r="O193" s="281">
        <v>44201</v>
      </c>
      <c r="P193" s="275" t="s">
        <v>64</v>
      </c>
      <c r="Q193" s="263" t="s">
        <v>43</v>
      </c>
      <c r="R193" s="233"/>
      <c r="S193" s="282"/>
      <c r="T193" s="265"/>
      <c r="U193" s="265"/>
      <c r="V193" s="266"/>
      <c r="X193" s="240"/>
      <c r="Y193" s="268"/>
      <c r="Z193" s="240"/>
      <c r="AA193" s="241"/>
    </row>
    <row r="194" spans="1:27" s="267" customFormat="1">
      <c r="A194" s="232">
        <v>186</v>
      </c>
      <c r="B194" s="275" t="s">
        <v>11</v>
      </c>
      <c r="C194" s="275">
        <v>2</v>
      </c>
      <c r="D194" s="276" t="s">
        <v>24</v>
      </c>
      <c r="E194" s="275" t="s">
        <v>26</v>
      </c>
      <c r="F194" s="275">
        <v>9</v>
      </c>
      <c r="G194" s="234" t="s">
        <v>80</v>
      </c>
      <c r="H194" s="277">
        <v>6.1</v>
      </c>
      <c r="I194" s="263">
        <v>118</v>
      </c>
      <c r="J194" s="263">
        <v>118</v>
      </c>
      <c r="K194" s="286">
        <v>6.1</v>
      </c>
      <c r="L194" s="277"/>
      <c r="M194" s="280" t="s">
        <v>115</v>
      </c>
      <c r="N194" s="234" t="s">
        <v>392</v>
      </c>
      <c r="O194" s="281">
        <v>44217</v>
      </c>
      <c r="P194" s="275" t="s">
        <v>64</v>
      </c>
      <c r="Q194" s="263" t="s">
        <v>43</v>
      </c>
      <c r="R194" s="233"/>
      <c r="S194" s="282"/>
      <c r="T194" s="265"/>
      <c r="U194" s="265"/>
      <c r="V194" s="266"/>
      <c r="X194" s="240"/>
      <c r="Y194" s="268"/>
      <c r="Z194" s="240"/>
      <c r="AA194" s="241"/>
    </row>
    <row r="195" spans="1:27" s="267" customFormat="1">
      <c r="A195" s="232">
        <v>187</v>
      </c>
      <c r="B195" s="275" t="s">
        <v>11</v>
      </c>
      <c r="C195" s="275">
        <v>2</v>
      </c>
      <c r="D195" s="276" t="s">
        <v>24</v>
      </c>
      <c r="E195" s="275" t="s">
        <v>26</v>
      </c>
      <c r="F195" s="275">
        <v>10</v>
      </c>
      <c r="G195" s="234" t="s">
        <v>80</v>
      </c>
      <c r="H195" s="277">
        <v>4.4000000000000004</v>
      </c>
      <c r="I195" s="263">
        <v>89</v>
      </c>
      <c r="J195" s="263">
        <v>89</v>
      </c>
      <c r="K195" s="286">
        <v>4.4000000000000004</v>
      </c>
      <c r="L195" s="277"/>
      <c r="M195" s="280" t="s">
        <v>115</v>
      </c>
      <c r="N195" s="234" t="s">
        <v>392</v>
      </c>
      <c r="O195" s="281">
        <v>44217</v>
      </c>
      <c r="P195" s="275" t="s">
        <v>64</v>
      </c>
      <c r="Q195" s="263" t="s">
        <v>43</v>
      </c>
      <c r="R195" s="233"/>
      <c r="S195" s="282"/>
      <c r="T195" s="265"/>
      <c r="U195" s="265"/>
      <c r="V195" s="266"/>
      <c r="X195" s="240"/>
      <c r="Y195" s="268"/>
      <c r="Z195" s="240"/>
      <c r="AA195" s="241"/>
    </row>
    <row r="196" spans="1:27" s="267" customFormat="1">
      <c r="A196" s="232">
        <v>188</v>
      </c>
      <c r="B196" s="275" t="s">
        <v>11</v>
      </c>
      <c r="C196" s="275">
        <v>2</v>
      </c>
      <c r="D196" s="276" t="s">
        <v>32</v>
      </c>
      <c r="E196" s="275" t="s">
        <v>26</v>
      </c>
      <c r="F196" s="283">
        <v>6</v>
      </c>
      <c r="G196" s="283" t="s">
        <v>68</v>
      </c>
      <c r="H196" s="285">
        <v>2.6</v>
      </c>
      <c r="I196" s="285">
        <v>37</v>
      </c>
      <c r="J196" s="233">
        <v>33</v>
      </c>
      <c r="K196" s="285">
        <v>2.6</v>
      </c>
      <c r="L196" s="277"/>
      <c r="M196" s="280" t="s">
        <v>115</v>
      </c>
      <c r="N196" s="234" t="s">
        <v>388</v>
      </c>
      <c r="O196" s="281">
        <v>44217</v>
      </c>
      <c r="P196" s="275" t="s">
        <v>64</v>
      </c>
      <c r="Q196" s="263" t="s">
        <v>43</v>
      </c>
      <c r="R196" s="233"/>
      <c r="S196" s="282"/>
      <c r="T196" s="265"/>
      <c r="U196" s="265"/>
      <c r="V196" s="266"/>
      <c r="X196" s="240"/>
      <c r="Y196" s="268"/>
      <c r="Z196" s="240"/>
      <c r="AA196" s="241"/>
    </row>
    <row r="197" spans="1:27" s="267" customFormat="1">
      <c r="A197" s="232">
        <v>189</v>
      </c>
      <c r="B197" s="275" t="s">
        <v>11</v>
      </c>
      <c r="C197" s="275">
        <v>2</v>
      </c>
      <c r="D197" s="276" t="s">
        <v>32</v>
      </c>
      <c r="E197" s="275" t="s">
        <v>26</v>
      </c>
      <c r="F197" s="283">
        <v>7</v>
      </c>
      <c r="G197" s="283" t="s">
        <v>69</v>
      </c>
      <c r="H197" s="285">
        <v>1.5</v>
      </c>
      <c r="I197" s="285">
        <v>29</v>
      </c>
      <c r="J197" s="233">
        <v>25</v>
      </c>
      <c r="K197" s="285">
        <v>1.5</v>
      </c>
      <c r="L197" s="277"/>
      <c r="M197" s="280" t="s">
        <v>115</v>
      </c>
      <c r="N197" s="234" t="s">
        <v>388</v>
      </c>
      <c r="O197" s="281">
        <v>44217</v>
      </c>
      <c r="P197" s="275" t="s">
        <v>64</v>
      </c>
      <c r="Q197" s="263" t="s">
        <v>43</v>
      </c>
      <c r="R197" s="233"/>
      <c r="S197" s="282"/>
      <c r="T197" s="265"/>
      <c r="U197" s="265"/>
      <c r="V197" s="266"/>
      <c r="X197" s="240"/>
      <c r="Y197" s="268"/>
      <c r="Z197" s="240"/>
      <c r="AA197" s="241"/>
    </row>
    <row r="198" spans="1:27" s="267" customFormat="1">
      <c r="A198" s="232">
        <v>190</v>
      </c>
      <c r="B198" s="275" t="s">
        <v>11</v>
      </c>
      <c r="C198" s="275">
        <v>2</v>
      </c>
      <c r="D198" s="276" t="s">
        <v>32</v>
      </c>
      <c r="E198" s="275" t="s">
        <v>26</v>
      </c>
      <c r="F198" s="283">
        <v>7</v>
      </c>
      <c r="G198" s="283" t="s">
        <v>85</v>
      </c>
      <c r="H198" s="284">
        <v>19.5</v>
      </c>
      <c r="I198" s="285">
        <v>337</v>
      </c>
      <c r="J198" s="233">
        <f>281+15</f>
        <v>296</v>
      </c>
      <c r="K198" s="284">
        <v>19.5</v>
      </c>
      <c r="L198" s="277"/>
      <c r="M198" s="280" t="s">
        <v>115</v>
      </c>
      <c r="N198" s="234" t="s">
        <v>388</v>
      </c>
      <c r="O198" s="281">
        <v>44217</v>
      </c>
      <c r="P198" s="275" t="s">
        <v>64</v>
      </c>
      <c r="Q198" s="263" t="s">
        <v>43</v>
      </c>
      <c r="R198" s="233"/>
      <c r="S198" s="282"/>
      <c r="T198" s="265"/>
      <c r="U198" s="265"/>
      <c r="V198" s="266"/>
      <c r="X198" s="240"/>
      <c r="Y198" s="268"/>
      <c r="Z198" s="240"/>
      <c r="AA198" s="241"/>
    </row>
    <row r="199" spans="1:27" s="267" customFormat="1">
      <c r="A199" s="232">
        <v>191</v>
      </c>
      <c r="B199" s="275" t="s">
        <v>11</v>
      </c>
      <c r="C199" s="275">
        <v>2</v>
      </c>
      <c r="D199" s="276" t="s">
        <v>32</v>
      </c>
      <c r="E199" s="275" t="s">
        <v>26</v>
      </c>
      <c r="F199" s="283">
        <v>7</v>
      </c>
      <c r="G199" s="283" t="s">
        <v>68</v>
      </c>
      <c r="H199" s="285">
        <v>4.5999999999999996</v>
      </c>
      <c r="I199" s="285">
        <v>95</v>
      </c>
      <c r="J199" s="233">
        <v>84</v>
      </c>
      <c r="K199" s="285">
        <v>4.5999999999999996</v>
      </c>
      <c r="L199" s="277"/>
      <c r="M199" s="280" t="s">
        <v>115</v>
      </c>
      <c r="N199" s="234" t="s">
        <v>388</v>
      </c>
      <c r="O199" s="281">
        <v>44217</v>
      </c>
      <c r="P199" s="275" t="s">
        <v>64</v>
      </c>
      <c r="Q199" s="263" t="s">
        <v>43</v>
      </c>
      <c r="R199" s="233"/>
      <c r="S199" s="282"/>
      <c r="T199" s="265"/>
      <c r="U199" s="265"/>
      <c r="V199" s="266"/>
      <c r="X199" s="240"/>
      <c r="Y199" s="268"/>
      <c r="Z199" s="240"/>
      <c r="AA199" s="241"/>
    </row>
    <row r="200" spans="1:27" s="267" customFormat="1">
      <c r="A200" s="232">
        <v>192</v>
      </c>
      <c r="B200" s="275" t="s">
        <v>11</v>
      </c>
      <c r="C200" s="275">
        <v>2</v>
      </c>
      <c r="D200" s="276" t="s">
        <v>32</v>
      </c>
      <c r="E200" s="275" t="s">
        <v>26</v>
      </c>
      <c r="F200" s="283">
        <v>7</v>
      </c>
      <c r="G200" s="283" t="s">
        <v>88</v>
      </c>
      <c r="H200" s="285">
        <v>2.4</v>
      </c>
      <c r="I200" s="285">
        <v>34</v>
      </c>
      <c r="J200" s="233">
        <v>31</v>
      </c>
      <c r="K200" s="285">
        <v>2.4</v>
      </c>
      <c r="L200" s="277"/>
      <c r="M200" s="280" t="s">
        <v>115</v>
      </c>
      <c r="N200" s="234" t="s">
        <v>388</v>
      </c>
      <c r="O200" s="281">
        <v>44217</v>
      </c>
      <c r="P200" s="275" t="s">
        <v>64</v>
      </c>
      <c r="Q200" s="263" t="s">
        <v>43</v>
      </c>
      <c r="R200" s="233"/>
      <c r="S200" s="282"/>
      <c r="T200" s="265"/>
      <c r="U200" s="265"/>
      <c r="V200" s="266"/>
      <c r="X200" s="240"/>
      <c r="Y200" s="268"/>
      <c r="Z200" s="240"/>
      <c r="AA200" s="241"/>
    </row>
    <row r="201" spans="1:27" s="267" customFormat="1">
      <c r="A201" s="232">
        <v>193</v>
      </c>
      <c r="B201" s="275" t="s">
        <v>11</v>
      </c>
      <c r="C201" s="275">
        <v>2</v>
      </c>
      <c r="D201" s="276" t="s">
        <v>32</v>
      </c>
      <c r="E201" s="275" t="s">
        <v>26</v>
      </c>
      <c r="F201" s="283">
        <v>8</v>
      </c>
      <c r="G201" s="283" t="s">
        <v>79</v>
      </c>
      <c r="H201" s="284">
        <v>5</v>
      </c>
      <c r="I201" s="285">
        <v>176</v>
      </c>
      <c r="J201" s="233">
        <v>121</v>
      </c>
      <c r="K201" s="284">
        <v>5</v>
      </c>
      <c r="L201" s="263"/>
      <c r="M201" s="280" t="s">
        <v>115</v>
      </c>
      <c r="N201" s="234" t="s">
        <v>388</v>
      </c>
      <c r="O201" s="281">
        <v>44217</v>
      </c>
      <c r="P201" s="275" t="s">
        <v>64</v>
      </c>
      <c r="Q201" s="263" t="s">
        <v>43</v>
      </c>
      <c r="R201" s="233"/>
      <c r="S201" s="282"/>
      <c r="T201" s="265"/>
      <c r="U201" s="265"/>
      <c r="V201" s="266" t="s">
        <v>53</v>
      </c>
      <c r="X201" s="240"/>
      <c r="Y201" s="268"/>
      <c r="Z201" s="240"/>
      <c r="AA201" s="241"/>
    </row>
    <row r="202" spans="1:27" s="267" customFormat="1">
      <c r="A202" s="232">
        <v>194</v>
      </c>
      <c r="B202" s="275" t="s">
        <v>11</v>
      </c>
      <c r="C202" s="275">
        <v>2</v>
      </c>
      <c r="D202" s="276" t="s">
        <v>32</v>
      </c>
      <c r="E202" s="275" t="s">
        <v>26</v>
      </c>
      <c r="F202" s="283">
        <v>9</v>
      </c>
      <c r="G202" s="283" t="s">
        <v>86</v>
      </c>
      <c r="H202" s="285">
        <v>4.0999999999999996</v>
      </c>
      <c r="I202" s="285">
        <v>85</v>
      </c>
      <c r="J202" s="233">
        <v>73</v>
      </c>
      <c r="K202" s="285">
        <v>4.0999999999999996</v>
      </c>
      <c r="L202" s="263"/>
      <c r="M202" s="280" t="s">
        <v>115</v>
      </c>
      <c r="N202" s="234" t="s">
        <v>388</v>
      </c>
      <c r="O202" s="281">
        <v>44217</v>
      </c>
      <c r="P202" s="275" t="s">
        <v>64</v>
      </c>
      <c r="Q202" s="263" t="s">
        <v>43</v>
      </c>
      <c r="R202" s="233"/>
      <c r="S202" s="282"/>
      <c r="T202" s="265"/>
      <c r="U202" s="265"/>
      <c r="V202" s="266" t="s">
        <v>53</v>
      </c>
      <c r="X202" s="240"/>
      <c r="Y202" s="268"/>
      <c r="Z202" s="240"/>
      <c r="AA202" s="241"/>
    </row>
    <row r="203" spans="1:27" s="267" customFormat="1">
      <c r="A203" s="232">
        <v>195</v>
      </c>
      <c r="B203" s="275" t="s">
        <v>11</v>
      </c>
      <c r="C203" s="275">
        <v>2</v>
      </c>
      <c r="D203" s="276" t="s">
        <v>32</v>
      </c>
      <c r="E203" s="275" t="s">
        <v>26</v>
      </c>
      <c r="F203" s="283">
        <v>10</v>
      </c>
      <c r="G203" s="283" t="s">
        <v>79</v>
      </c>
      <c r="H203" s="284">
        <v>4</v>
      </c>
      <c r="I203" s="285">
        <v>164</v>
      </c>
      <c r="J203" s="233">
        <v>130</v>
      </c>
      <c r="K203" s="284">
        <v>4</v>
      </c>
      <c r="L203" s="263"/>
      <c r="M203" s="280" t="s">
        <v>115</v>
      </c>
      <c r="N203" s="234" t="s">
        <v>388</v>
      </c>
      <c r="O203" s="281">
        <v>44217</v>
      </c>
      <c r="P203" s="275" t="s">
        <v>64</v>
      </c>
      <c r="Q203" s="263" t="s">
        <v>43</v>
      </c>
      <c r="R203" s="233"/>
      <c r="S203" s="282"/>
      <c r="T203" s="265"/>
      <c r="U203" s="265"/>
      <c r="V203" s="266" t="s">
        <v>54</v>
      </c>
      <c r="X203" s="240"/>
      <c r="Y203" s="268"/>
      <c r="Z203" s="240"/>
      <c r="AA203" s="241"/>
    </row>
    <row r="204" spans="1:27" s="267" customFormat="1">
      <c r="A204" s="232">
        <v>196</v>
      </c>
      <c r="B204" s="275" t="s">
        <v>11</v>
      </c>
      <c r="C204" s="275">
        <v>2</v>
      </c>
      <c r="D204" s="276" t="s">
        <v>32</v>
      </c>
      <c r="E204" s="275" t="s">
        <v>26</v>
      </c>
      <c r="F204" s="283">
        <v>10</v>
      </c>
      <c r="G204" s="283" t="s">
        <v>75</v>
      </c>
      <c r="H204" s="285">
        <v>5.7</v>
      </c>
      <c r="I204" s="285">
        <v>148</v>
      </c>
      <c r="J204" s="233">
        <v>139</v>
      </c>
      <c r="K204" s="285">
        <v>5.7</v>
      </c>
      <c r="L204" s="263"/>
      <c r="M204" s="280" t="s">
        <v>115</v>
      </c>
      <c r="N204" s="234" t="s">
        <v>388</v>
      </c>
      <c r="O204" s="281">
        <v>44217</v>
      </c>
      <c r="P204" s="275" t="s">
        <v>64</v>
      </c>
      <c r="Q204" s="263" t="s">
        <v>43</v>
      </c>
      <c r="R204" s="233"/>
      <c r="S204" s="282"/>
      <c r="T204" s="265"/>
      <c r="U204" s="265"/>
      <c r="V204" s="266" t="s">
        <v>54</v>
      </c>
      <c r="X204" s="240"/>
      <c r="Y204" s="268"/>
      <c r="Z204" s="240"/>
      <c r="AA204" s="241"/>
    </row>
    <row r="205" spans="1:27" s="267" customFormat="1">
      <c r="A205" s="232">
        <v>197</v>
      </c>
      <c r="B205" s="275" t="s">
        <v>11</v>
      </c>
      <c r="C205" s="275">
        <v>2</v>
      </c>
      <c r="D205" s="276" t="s">
        <v>32</v>
      </c>
      <c r="E205" s="275" t="s">
        <v>26</v>
      </c>
      <c r="F205" s="283">
        <v>10</v>
      </c>
      <c r="G205" s="283" t="s">
        <v>88</v>
      </c>
      <c r="H205" s="285">
        <v>3.4</v>
      </c>
      <c r="I205" s="285">
        <v>143</v>
      </c>
      <c r="J205" s="233">
        <v>131</v>
      </c>
      <c r="K205" s="285">
        <v>3.4</v>
      </c>
      <c r="L205" s="263"/>
      <c r="M205" s="280" t="s">
        <v>115</v>
      </c>
      <c r="N205" s="234" t="s">
        <v>388</v>
      </c>
      <c r="O205" s="281">
        <v>44217</v>
      </c>
      <c r="P205" s="275" t="s">
        <v>64</v>
      </c>
      <c r="Q205" s="263" t="s">
        <v>43</v>
      </c>
      <c r="R205" s="233"/>
      <c r="S205" s="282"/>
      <c r="T205" s="265"/>
      <c r="U205" s="265"/>
      <c r="V205" s="266" t="s">
        <v>54</v>
      </c>
      <c r="X205" s="240"/>
      <c r="Y205" s="268"/>
      <c r="Z205" s="240"/>
      <c r="AA205" s="241"/>
    </row>
    <row r="206" spans="1:27" s="267" customFormat="1">
      <c r="A206" s="232">
        <v>198</v>
      </c>
      <c r="B206" s="275" t="s">
        <v>11</v>
      </c>
      <c r="C206" s="275">
        <v>2</v>
      </c>
      <c r="D206" s="276" t="s">
        <v>32</v>
      </c>
      <c r="E206" s="275" t="s">
        <v>26</v>
      </c>
      <c r="F206" s="283">
        <v>16</v>
      </c>
      <c r="G206" s="283" t="s">
        <v>79</v>
      </c>
      <c r="H206" s="285">
        <v>2.2999999999999998</v>
      </c>
      <c r="I206" s="285">
        <v>54</v>
      </c>
      <c r="J206" s="233">
        <v>43</v>
      </c>
      <c r="K206" s="285">
        <v>2.2999999999999998</v>
      </c>
      <c r="L206" s="281"/>
      <c r="M206" s="280" t="s">
        <v>115</v>
      </c>
      <c r="N206" s="234" t="s">
        <v>388</v>
      </c>
      <c r="O206" s="281">
        <v>44217</v>
      </c>
      <c r="P206" s="275" t="s">
        <v>64</v>
      </c>
      <c r="Q206" s="263" t="s">
        <v>393</v>
      </c>
      <c r="R206" s="233"/>
      <c r="S206" s="282"/>
      <c r="T206" s="265"/>
      <c r="U206" s="265"/>
      <c r="V206" s="266" t="s">
        <v>54</v>
      </c>
      <c r="X206" s="240"/>
      <c r="Y206" s="268"/>
      <c r="Z206" s="240"/>
      <c r="AA206" s="241"/>
    </row>
    <row r="207" spans="1:27" s="267" customFormat="1">
      <c r="A207" s="232">
        <v>199</v>
      </c>
      <c r="B207" s="275" t="s">
        <v>11</v>
      </c>
      <c r="C207" s="275">
        <v>2</v>
      </c>
      <c r="D207" s="276" t="s">
        <v>32</v>
      </c>
      <c r="E207" s="275" t="s">
        <v>28</v>
      </c>
      <c r="F207" s="283">
        <v>18</v>
      </c>
      <c r="G207" s="283" t="s">
        <v>74</v>
      </c>
      <c r="H207" s="285">
        <v>8.4</v>
      </c>
      <c r="I207" s="285">
        <v>97</v>
      </c>
      <c r="J207" s="233">
        <v>86</v>
      </c>
      <c r="K207" s="285">
        <v>8.4</v>
      </c>
      <c r="L207" s="263"/>
      <c r="M207" s="280" t="s">
        <v>115</v>
      </c>
      <c r="N207" s="234" t="s">
        <v>388</v>
      </c>
      <c r="O207" s="281">
        <v>44217</v>
      </c>
      <c r="P207" s="275" t="s">
        <v>64</v>
      </c>
      <c r="Q207" s="263" t="s">
        <v>393</v>
      </c>
      <c r="R207" s="233"/>
      <c r="S207" s="282"/>
      <c r="T207" s="265"/>
      <c r="U207" s="265"/>
      <c r="V207" s="266" t="s">
        <v>54</v>
      </c>
      <c r="X207" s="240"/>
      <c r="Y207" s="268"/>
      <c r="Z207" s="240"/>
      <c r="AA207" s="241"/>
    </row>
    <row r="208" spans="1:27" s="267" customFormat="1">
      <c r="A208" s="232">
        <v>200</v>
      </c>
      <c r="B208" s="275" t="s">
        <v>11</v>
      </c>
      <c r="C208" s="275">
        <v>2</v>
      </c>
      <c r="D208" s="276" t="s">
        <v>32</v>
      </c>
      <c r="E208" s="275" t="s">
        <v>28</v>
      </c>
      <c r="F208" s="283">
        <v>20</v>
      </c>
      <c r="G208" s="283" t="s">
        <v>85</v>
      </c>
      <c r="H208" s="284">
        <v>21.6</v>
      </c>
      <c r="I208" s="285">
        <v>409</v>
      </c>
      <c r="J208" s="233">
        <v>376</v>
      </c>
      <c r="K208" s="284">
        <v>21.6</v>
      </c>
      <c r="L208" s="263"/>
      <c r="M208" s="280" t="s">
        <v>115</v>
      </c>
      <c r="N208" s="234" t="s">
        <v>388</v>
      </c>
      <c r="O208" s="281">
        <v>44217</v>
      </c>
      <c r="P208" s="275" t="s">
        <v>64</v>
      </c>
      <c r="Q208" s="263" t="s">
        <v>393</v>
      </c>
      <c r="R208" s="233"/>
      <c r="S208" s="282"/>
      <c r="T208" s="265"/>
      <c r="U208" s="265"/>
      <c r="V208" s="266" t="s">
        <v>54</v>
      </c>
      <c r="X208" s="240"/>
      <c r="Y208" s="268"/>
      <c r="Z208" s="240"/>
      <c r="AA208" s="241"/>
    </row>
    <row r="209" spans="1:27" s="267" customFormat="1">
      <c r="A209" s="232">
        <v>201</v>
      </c>
      <c r="B209" s="275" t="s">
        <v>11</v>
      </c>
      <c r="C209" s="275">
        <v>2</v>
      </c>
      <c r="D209" s="276" t="s">
        <v>32</v>
      </c>
      <c r="E209" s="275" t="s">
        <v>28</v>
      </c>
      <c r="F209" s="283">
        <v>24</v>
      </c>
      <c r="G209" s="283" t="s">
        <v>71</v>
      </c>
      <c r="H209" s="284">
        <v>17.2</v>
      </c>
      <c r="I209" s="285">
        <v>353</v>
      </c>
      <c r="J209" s="233">
        <v>326</v>
      </c>
      <c r="K209" s="284">
        <v>17.2</v>
      </c>
      <c r="L209" s="263"/>
      <c r="M209" s="280" t="s">
        <v>115</v>
      </c>
      <c r="N209" s="234" t="s">
        <v>388</v>
      </c>
      <c r="O209" s="281">
        <v>44217</v>
      </c>
      <c r="P209" s="275" t="s">
        <v>64</v>
      </c>
      <c r="Q209" s="263" t="s">
        <v>393</v>
      </c>
      <c r="R209" s="233"/>
      <c r="S209" s="282"/>
      <c r="T209" s="265"/>
      <c r="U209" s="265"/>
      <c r="V209" s="266" t="s">
        <v>34</v>
      </c>
      <c r="X209" s="240"/>
      <c r="Y209" s="268"/>
      <c r="Z209" s="240"/>
      <c r="AA209" s="241"/>
    </row>
    <row r="210" spans="1:27" s="267" customFormat="1">
      <c r="A210" s="232">
        <v>202</v>
      </c>
      <c r="B210" s="275" t="s">
        <v>11</v>
      </c>
      <c r="C210" s="275"/>
      <c r="D210" s="276" t="s">
        <v>125</v>
      </c>
      <c r="E210" s="275" t="s">
        <v>26</v>
      </c>
      <c r="F210" s="289" t="s">
        <v>162</v>
      </c>
      <c r="G210" s="289" t="s">
        <v>67</v>
      </c>
      <c r="H210" s="290">
        <v>0.1</v>
      </c>
      <c r="I210" s="285">
        <v>10</v>
      </c>
      <c r="J210" s="233">
        <v>10</v>
      </c>
      <c r="K210" s="290"/>
      <c r="L210" s="263">
        <v>0.1</v>
      </c>
      <c r="M210" s="280" t="s">
        <v>115</v>
      </c>
      <c r="N210" s="234" t="s">
        <v>477</v>
      </c>
      <c r="O210" s="281">
        <v>44295</v>
      </c>
      <c r="P210" s="275" t="s">
        <v>64</v>
      </c>
      <c r="Q210" s="263" t="s">
        <v>393</v>
      </c>
      <c r="R210" s="233"/>
      <c r="S210" s="282"/>
      <c r="T210" s="265"/>
      <c r="U210" s="265"/>
      <c r="V210" s="266"/>
      <c r="X210" s="240"/>
      <c r="Y210" s="268"/>
      <c r="Z210" s="240"/>
      <c r="AA210" s="241"/>
    </row>
    <row r="211" spans="1:27" s="267" customFormat="1">
      <c r="A211" s="232">
        <v>203</v>
      </c>
      <c r="B211" s="275" t="s">
        <v>21</v>
      </c>
      <c r="C211" s="275">
        <v>2</v>
      </c>
      <c r="D211" s="276" t="s">
        <v>31</v>
      </c>
      <c r="E211" s="275" t="s">
        <v>26</v>
      </c>
      <c r="F211" s="275">
        <v>104</v>
      </c>
      <c r="G211" s="234" t="s">
        <v>72</v>
      </c>
      <c r="H211" s="277">
        <v>3</v>
      </c>
      <c r="I211" s="263">
        <v>13</v>
      </c>
      <c r="J211" s="263"/>
      <c r="K211" s="277">
        <v>3</v>
      </c>
      <c r="L211" s="263"/>
      <c r="M211" s="280" t="s">
        <v>115</v>
      </c>
      <c r="N211" s="234" t="s">
        <v>394</v>
      </c>
      <c r="O211" s="281">
        <v>44210</v>
      </c>
      <c r="P211" s="275" t="s">
        <v>64</v>
      </c>
      <c r="Q211" s="263" t="s">
        <v>43</v>
      </c>
      <c r="R211" s="233"/>
      <c r="S211" s="282"/>
      <c r="T211" s="265"/>
      <c r="U211" s="265"/>
      <c r="V211" s="266"/>
      <c r="X211" s="240"/>
      <c r="Y211" s="268"/>
      <c r="Z211" s="240"/>
      <c r="AA211" s="241"/>
    </row>
    <row r="212" spans="1:27" s="267" customFormat="1">
      <c r="A212" s="232">
        <v>204</v>
      </c>
      <c r="B212" s="275" t="s">
        <v>21</v>
      </c>
      <c r="C212" s="275">
        <v>2</v>
      </c>
      <c r="D212" s="276" t="s">
        <v>31</v>
      </c>
      <c r="E212" s="275" t="s">
        <v>28</v>
      </c>
      <c r="F212" s="275">
        <v>24</v>
      </c>
      <c r="G212" s="234" t="s">
        <v>85</v>
      </c>
      <c r="H212" s="277">
        <v>1</v>
      </c>
      <c r="I212" s="263">
        <v>6</v>
      </c>
      <c r="J212" s="263"/>
      <c r="K212" s="277">
        <v>1</v>
      </c>
      <c r="L212" s="263"/>
      <c r="M212" s="280" t="s">
        <v>115</v>
      </c>
      <c r="N212" s="234" t="s">
        <v>394</v>
      </c>
      <c r="O212" s="281">
        <v>44210</v>
      </c>
      <c r="P212" s="275" t="s">
        <v>64</v>
      </c>
      <c r="Q212" s="263" t="s">
        <v>42</v>
      </c>
      <c r="R212" s="233"/>
      <c r="S212" s="282"/>
      <c r="T212" s="265"/>
      <c r="U212" s="265"/>
      <c r="V212" s="266"/>
      <c r="X212" s="240"/>
      <c r="Y212" s="268"/>
      <c r="Z212" s="240"/>
      <c r="AA212" s="241"/>
    </row>
    <row r="213" spans="1:27" s="267" customFormat="1">
      <c r="A213" s="232">
        <v>205</v>
      </c>
      <c r="B213" s="275" t="s">
        <v>21</v>
      </c>
      <c r="C213" s="275">
        <v>2</v>
      </c>
      <c r="D213" s="276" t="s">
        <v>31</v>
      </c>
      <c r="E213" s="275" t="s">
        <v>26</v>
      </c>
      <c r="F213" s="275">
        <v>25</v>
      </c>
      <c r="G213" s="234" t="s">
        <v>67</v>
      </c>
      <c r="H213" s="277">
        <v>7.5</v>
      </c>
      <c r="I213" s="263">
        <v>54</v>
      </c>
      <c r="J213" s="263"/>
      <c r="K213" s="277">
        <v>7.5</v>
      </c>
      <c r="L213" s="263"/>
      <c r="M213" s="280" t="s">
        <v>115</v>
      </c>
      <c r="N213" s="234" t="s">
        <v>394</v>
      </c>
      <c r="O213" s="281">
        <v>44210</v>
      </c>
      <c r="P213" s="275" t="s">
        <v>64</v>
      </c>
      <c r="Q213" s="263" t="s">
        <v>42</v>
      </c>
      <c r="R213" s="233"/>
      <c r="S213" s="282"/>
      <c r="T213" s="265"/>
      <c r="U213" s="265"/>
      <c r="V213" s="266"/>
      <c r="X213" s="240"/>
      <c r="Y213" s="268"/>
      <c r="Z213" s="240"/>
      <c r="AA213" s="241"/>
    </row>
    <row r="214" spans="1:27" s="267" customFormat="1">
      <c r="A214" s="232">
        <v>206</v>
      </c>
      <c r="B214" s="275" t="s">
        <v>21</v>
      </c>
      <c r="C214" s="275">
        <v>2</v>
      </c>
      <c r="D214" s="276" t="s">
        <v>31</v>
      </c>
      <c r="E214" s="275" t="s">
        <v>26</v>
      </c>
      <c r="F214" s="275">
        <v>91</v>
      </c>
      <c r="G214" s="234" t="s">
        <v>214</v>
      </c>
      <c r="H214" s="277">
        <v>2.4</v>
      </c>
      <c r="I214" s="263">
        <v>12</v>
      </c>
      <c r="J214" s="263"/>
      <c r="K214" s="277">
        <v>2.4</v>
      </c>
      <c r="L214" s="263"/>
      <c r="M214" s="280" t="s">
        <v>115</v>
      </c>
      <c r="N214" s="234" t="s">
        <v>394</v>
      </c>
      <c r="O214" s="281">
        <v>44210</v>
      </c>
      <c r="P214" s="275" t="s">
        <v>64</v>
      </c>
      <c r="Q214" s="263" t="s">
        <v>42</v>
      </c>
      <c r="R214" s="233"/>
      <c r="S214" s="282"/>
      <c r="T214" s="265"/>
      <c r="U214" s="265"/>
      <c r="V214" s="266"/>
      <c r="X214" s="240"/>
      <c r="Y214" s="268"/>
      <c r="Z214" s="240"/>
      <c r="AA214" s="241"/>
    </row>
    <row r="215" spans="1:27" s="267" customFormat="1">
      <c r="A215" s="232">
        <v>207</v>
      </c>
      <c r="B215" s="275" t="s">
        <v>21</v>
      </c>
      <c r="C215" s="275">
        <v>2</v>
      </c>
      <c r="D215" s="276" t="s">
        <v>31</v>
      </c>
      <c r="E215" s="275" t="s">
        <v>26</v>
      </c>
      <c r="F215" s="275">
        <v>98</v>
      </c>
      <c r="G215" s="234" t="s">
        <v>78</v>
      </c>
      <c r="H215" s="277">
        <v>1.8</v>
      </c>
      <c r="I215" s="263">
        <v>10</v>
      </c>
      <c r="J215" s="263"/>
      <c r="K215" s="277">
        <v>1.8</v>
      </c>
      <c r="L215" s="263"/>
      <c r="M215" s="280" t="s">
        <v>115</v>
      </c>
      <c r="N215" s="234" t="s">
        <v>394</v>
      </c>
      <c r="O215" s="281">
        <v>44210</v>
      </c>
      <c r="P215" s="275" t="s">
        <v>64</v>
      </c>
      <c r="Q215" s="263" t="s">
        <v>42</v>
      </c>
      <c r="R215" s="233"/>
      <c r="S215" s="282"/>
      <c r="T215" s="265"/>
      <c r="U215" s="265"/>
      <c r="V215" s="266"/>
      <c r="X215" s="240"/>
      <c r="Y215" s="268"/>
      <c r="Z215" s="240"/>
      <c r="AA215" s="241"/>
    </row>
    <row r="216" spans="1:27" s="267" customFormat="1">
      <c r="A216" s="232">
        <v>208</v>
      </c>
      <c r="B216" s="275" t="s">
        <v>21</v>
      </c>
      <c r="C216" s="275">
        <v>2</v>
      </c>
      <c r="D216" s="276" t="s">
        <v>31</v>
      </c>
      <c r="E216" s="275" t="s">
        <v>26</v>
      </c>
      <c r="F216" s="275">
        <v>96</v>
      </c>
      <c r="G216" s="234" t="s">
        <v>67</v>
      </c>
      <c r="H216" s="277">
        <v>2.9</v>
      </c>
      <c r="I216" s="263">
        <v>18</v>
      </c>
      <c r="J216" s="263"/>
      <c r="K216" s="277">
        <v>2.9</v>
      </c>
      <c r="L216" s="263"/>
      <c r="M216" s="280" t="s">
        <v>115</v>
      </c>
      <c r="N216" s="234" t="s">
        <v>394</v>
      </c>
      <c r="O216" s="281">
        <v>44210</v>
      </c>
      <c r="P216" s="275" t="s">
        <v>64</v>
      </c>
      <c r="Q216" s="263" t="s">
        <v>42</v>
      </c>
      <c r="R216" s="233"/>
      <c r="S216" s="282"/>
      <c r="T216" s="265"/>
      <c r="U216" s="265"/>
      <c r="V216" s="266"/>
      <c r="X216" s="240"/>
      <c r="Y216" s="268"/>
      <c r="Z216" s="240"/>
      <c r="AA216" s="241"/>
    </row>
    <row r="217" spans="1:27" s="267" customFormat="1">
      <c r="A217" s="232">
        <v>209</v>
      </c>
      <c r="B217" s="275" t="s">
        <v>21</v>
      </c>
      <c r="C217" s="275">
        <v>2</v>
      </c>
      <c r="D217" s="276" t="s">
        <v>23</v>
      </c>
      <c r="E217" s="275" t="s">
        <v>26</v>
      </c>
      <c r="F217" s="275">
        <v>97</v>
      </c>
      <c r="G217" s="234" t="s">
        <v>92</v>
      </c>
      <c r="H217" s="277">
        <v>2.9</v>
      </c>
      <c r="I217" s="263">
        <v>30</v>
      </c>
      <c r="J217" s="263">
        <v>4</v>
      </c>
      <c r="K217" s="277">
        <v>2.9</v>
      </c>
      <c r="L217" s="263"/>
      <c r="M217" s="280" t="s">
        <v>115</v>
      </c>
      <c r="N217" s="234" t="s">
        <v>396</v>
      </c>
      <c r="O217" s="281">
        <v>44211</v>
      </c>
      <c r="P217" s="275" t="s">
        <v>64</v>
      </c>
      <c r="Q217" s="263" t="s">
        <v>42</v>
      </c>
      <c r="R217" s="233"/>
      <c r="S217" s="282"/>
      <c r="T217" s="265"/>
      <c r="U217" s="265"/>
      <c r="V217" s="266" t="s">
        <v>53</v>
      </c>
      <c r="X217" s="240"/>
      <c r="Y217" s="268"/>
      <c r="Z217" s="240"/>
      <c r="AA217" s="241"/>
    </row>
    <row r="218" spans="1:27" s="267" customFormat="1">
      <c r="A218" s="232">
        <v>210</v>
      </c>
      <c r="B218" s="275" t="s">
        <v>21</v>
      </c>
      <c r="C218" s="275">
        <v>2</v>
      </c>
      <c r="D218" s="276" t="s">
        <v>23</v>
      </c>
      <c r="E218" s="275" t="s">
        <v>26</v>
      </c>
      <c r="F218" s="275">
        <v>93</v>
      </c>
      <c r="G218" s="234" t="s">
        <v>75</v>
      </c>
      <c r="H218" s="277">
        <v>3.7</v>
      </c>
      <c r="I218" s="263">
        <v>39</v>
      </c>
      <c r="J218" s="263">
        <v>9</v>
      </c>
      <c r="K218" s="277">
        <v>3.7</v>
      </c>
      <c r="L218" s="263"/>
      <c r="M218" s="280" t="s">
        <v>115</v>
      </c>
      <c r="N218" s="234" t="s">
        <v>396</v>
      </c>
      <c r="O218" s="281">
        <v>44211</v>
      </c>
      <c r="P218" s="275" t="s">
        <v>64</v>
      </c>
      <c r="Q218" s="263" t="s">
        <v>43</v>
      </c>
      <c r="R218" s="233"/>
      <c r="S218" s="282"/>
      <c r="T218" s="265"/>
      <c r="U218" s="265"/>
      <c r="V218" s="266" t="s">
        <v>53</v>
      </c>
      <c r="X218" s="240"/>
      <c r="Y218" s="268"/>
      <c r="Z218" s="240"/>
      <c r="AA218" s="241"/>
    </row>
    <row r="219" spans="1:27" s="267" customFormat="1">
      <c r="A219" s="232">
        <v>211</v>
      </c>
      <c r="B219" s="275" t="s">
        <v>21</v>
      </c>
      <c r="C219" s="275">
        <v>2</v>
      </c>
      <c r="D219" s="276" t="s">
        <v>23</v>
      </c>
      <c r="E219" s="275" t="s">
        <v>26</v>
      </c>
      <c r="F219" s="275">
        <v>12</v>
      </c>
      <c r="G219" s="234" t="s">
        <v>69</v>
      </c>
      <c r="H219" s="277">
        <v>5.3</v>
      </c>
      <c r="I219" s="263">
        <v>57</v>
      </c>
      <c r="J219" s="263">
        <v>9</v>
      </c>
      <c r="K219" s="277">
        <v>5.3</v>
      </c>
      <c r="L219" s="263"/>
      <c r="M219" s="280" t="s">
        <v>115</v>
      </c>
      <c r="N219" s="234" t="s">
        <v>396</v>
      </c>
      <c r="O219" s="281">
        <v>44211</v>
      </c>
      <c r="P219" s="275" t="s">
        <v>64</v>
      </c>
      <c r="Q219" s="263" t="s">
        <v>42</v>
      </c>
      <c r="R219" s="233"/>
      <c r="S219" s="282"/>
      <c r="T219" s="265"/>
      <c r="U219" s="265"/>
      <c r="V219" s="266" t="s">
        <v>55</v>
      </c>
      <c r="X219" s="240"/>
      <c r="Y219" s="268"/>
      <c r="Z219" s="240"/>
      <c r="AA219" s="241"/>
    </row>
    <row r="220" spans="1:27" s="267" customFormat="1">
      <c r="A220" s="232">
        <v>212</v>
      </c>
      <c r="B220" s="275" t="s">
        <v>21</v>
      </c>
      <c r="C220" s="275">
        <v>2</v>
      </c>
      <c r="D220" s="276" t="s">
        <v>24</v>
      </c>
      <c r="E220" s="275" t="s">
        <v>26</v>
      </c>
      <c r="F220" s="275">
        <v>2</v>
      </c>
      <c r="G220" s="234" t="s">
        <v>72</v>
      </c>
      <c r="H220" s="277">
        <v>3.3</v>
      </c>
      <c r="I220" s="263">
        <v>90</v>
      </c>
      <c r="J220" s="263">
        <v>76</v>
      </c>
      <c r="K220" s="263">
        <v>3.3</v>
      </c>
      <c r="L220" s="277"/>
      <c r="M220" s="280" t="s">
        <v>115</v>
      </c>
      <c r="N220" s="234" t="s">
        <v>397</v>
      </c>
      <c r="O220" s="281">
        <v>44201</v>
      </c>
      <c r="P220" s="275" t="s">
        <v>64</v>
      </c>
      <c r="Q220" s="263" t="s">
        <v>42</v>
      </c>
      <c r="R220" s="233"/>
      <c r="S220" s="282"/>
      <c r="T220" s="265"/>
      <c r="U220" s="265"/>
      <c r="V220" s="266" t="s">
        <v>53</v>
      </c>
      <c r="X220" s="240"/>
      <c r="Y220" s="268"/>
      <c r="Z220" s="240"/>
      <c r="AA220" s="241"/>
    </row>
    <row r="221" spans="1:27" s="267" customFormat="1">
      <c r="A221" s="232">
        <v>213</v>
      </c>
      <c r="B221" s="275" t="s">
        <v>21</v>
      </c>
      <c r="C221" s="275">
        <v>2</v>
      </c>
      <c r="D221" s="276" t="s">
        <v>24</v>
      </c>
      <c r="E221" s="275" t="s">
        <v>26</v>
      </c>
      <c r="F221" s="275">
        <v>89</v>
      </c>
      <c r="G221" s="234" t="s">
        <v>79</v>
      </c>
      <c r="H221" s="277">
        <v>2.8</v>
      </c>
      <c r="I221" s="263">
        <v>49</v>
      </c>
      <c r="J221" s="263">
        <v>48</v>
      </c>
      <c r="K221" s="263">
        <v>2.8</v>
      </c>
      <c r="L221" s="277"/>
      <c r="M221" s="280" t="s">
        <v>115</v>
      </c>
      <c r="N221" s="234" t="s">
        <v>397</v>
      </c>
      <c r="O221" s="281">
        <v>44201</v>
      </c>
      <c r="P221" s="275" t="s">
        <v>64</v>
      </c>
      <c r="Q221" s="263" t="s">
        <v>42</v>
      </c>
      <c r="R221" s="233"/>
      <c r="S221" s="282"/>
      <c r="T221" s="265"/>
      <c r="U221" s="265"/>
      <c r="V221" s="266" t="s">
        <v>53</v>
      </c>
      <c r="X221" s="240"/>
      <c r="Y221" s="268"/>
      <c r="Z221" s="240"/>
      <c r="AA221" s="241"/>
    </row>
    <row r="222" spans="1:27" s="267" customFormat="1" ht="22.9" customHeight="1">
      <c r="A222" s="232">
        <v>214</v>
      </c>
      <c r="B222" s="275" t="s">
        <v>21</v>
      </c>
      <c r="C222" s="275">
        <v>2</v>
      </c>
      <c r="D222" s="276" t="s">
        <v>24</v>
      </c>
      <c r="E222" s="275" t="s">
        <v>26</v>
      </c>
      <c r="F222" s="275">
        <v>96</v>
      </c>
      <c r="G222" s="234" t="s">
        <v>68</v>
      </c>
      <c r="H222" s="277">
        <v>5.7</v>
      </c>
      <c r="I222" s="263">
        <v>101</v>
      </c>
      <c r="J222" s="263">
        <v>100</v>
      </c>
      <c r="K222" s="263">
        <v>5.7</v>
      </c>
      <c r="L222" s="277"/>
      <c r="M222" s="280" t="s">
        <v>115</v>
      </c>
      <c r="N222" s="234" t="s">
        <v>397</v>
      </c>
      <c r="O222" s="281">
        <v>44201</v>
      </c>
      <c r="P222" s="275" t="s">
        <v>64</v>
      </c>
      <c r="Q222" s="263" t="s">
        <v>42</v>
      </c>
      <c r="R222" s="233"/>
      <c r="S222" s="282"/>
      <c r="T222" s="265"/>
      <c r="U222" s="265"/>
      <c r="V222" s="266" t="s">
        <v>61</v>
      </c>
      <c r="X222" s="240"/>
      <c r="Y222" s="268"/>
      <c r="Z222" s="240"/>
      <c r="AA222" s="241"/>
    </row>
    <row r="223" spans="1:27" s="267" customFormat="1">
      <c r="A223" s="232">
        <v>215</v>
      </c>
      <c r="B223" s="275" t="s">
        <v>21</v>
      </c>
      <c r="C223" s="275">
        <v>2</v>
      </c>
      <c r="D223" s="276" t="s">
        <v>22</v>
      </c>
      <c r="E223" s="275" t="s">
        <v>26</v>
      </c>
      <c r="F223" s="275">
        <v>8</v>
      </c>
      <c r="G223" s="234" t="s">
        <v>72</v>
      </c>
      <c r="H223" s="277">
        <v>4.2</v>
      </c>
      <c r="I223" s="263">
        <v>145</v>
      </c>
      <c r="J223" s="263">
        <v>123</v>
      </c>
      <c r="K223" s="277">
        <v>4.2</v>
      </c>
      <c r="L223" s="277"/>
      <c r="M223" s="280" t="s">
        <v>115</v>
      </c>
      <c r="N223" s="234" t="s">
        <v>398</v>
      </c>
      <c r="O223" s="281">
        <v>44201</v>
      </c>
      <c r="P223" s="275" t="s">
        <v>64</v>
      </c>
      <c r="Q223" s="263" t="s">
        <v>42</v>
      </c>
      <c r="R223" s="233"/>
      <c r="S223" s="282"/>
      <c r="T223" s="265"/>
      <c r="U223" s="265"/>
      <c r="V223" s="266" t="s">
        <v>34</v>
      </c>
      <c r="X223" s="240"/>
      <c r="Y223" s="268"/>
      <c r="Z223" s="240"/>
      <c r="AA223" s="241"/>
    </row>
    <row r="224" spans="1:27" s="267" customFormat="1">
      <c r="A224" s="232">
        <v>216</v>
      </c>
      <c r="B224" s="275" t="s">
        <v>21</v>
      </c>
      <c r="C224" s="275">
        <v>2</v>
      </c>
      <c r="D224" s="276" t="s">
        <v>22</v>
      </c>
      <c r="E224" s="275" t="s">
        <v>26</v>
      </c>
      <c r="F224" s="275">
        <v>89</v>
      </c>
      <c r="G224" s="234" t="s">
        <v>80</v>
      </c>
      <c r="H224" s="277">
        <v>1.8</v>
      </c>
      <c r="I224" s="263">
        <v>47</v>
      </c>
      <c r="J224" s="263">
        <v>41</v>
      </c>
      <c r="K224" s="277">
        <v>1.8</v>
      </c>
      <c r="L224" s="277"/>
      <c r="M224" s="280" t="s">
        <v>115</v>
      </c>
      <c r="N224" s="234" t="s">
        <v>398</v>
      </c>
      <c r="O224" s="281">
        <v>44201</v>
      </c>
      <c r="P224" s="275" t="s">
        <v>64</v>
      </c>
      <c r="Q224" s="263" t="s">
        <v>42</v>
      </c>
      <c r="R224" s="233"/>
      <c r="S224" s="282"/>
      <c r="T224" s="265"/>
      <c r="U224" s="265"/>
      <c r="V224" s="266" t="s">
        <v>34</v>
      </c>
      <c r="X224" s="240"/>
      <c r="Y224" s="268"/>
      <c r="Z224" s="240"/>
      <c r="AA224" s="241"/>
    </row>
    <row r="225" spans="1:27" s="267" customFormat="1">
      <c r="A225" s="232">
        <v>217</v>
      </c>
      <c r="B225" s="275" t="s">
        <v>21</v>
      </c>
      <c r="C225" s="275">
        <v>2</v>
      </c>
      <c r="D225" s="276" t="s">
        <v>22</v>
      </c>
      <c r="E225" s="275" t="s">
        <v>26</v>
      </c>
      <c r="F225" s="275">
        <v>102</v>
      </c>
      <c r="G225" s="234" t="s">
        <v>80</v>
      </c>
      <c r="H225" s="277">
        <v>3.5</v>
      </c>
      <c r="I225" s="263">
        <v>214</v>
      </c>
      <c r="J225" s="263">
        <v>191</v>
      </c>
      <c r="K225" s="277">
        <v>3.5</v>
      </c>
      <c r="L225" s="277"/>
      <c r="M225" s="280" t="s">
        <v>115</v>
      </c>
      <c r="N225" s="234" t="s">
        <v>398</v>
      </c>
      <c r="O225" s="281">
        <v>44201</v>
      </c>
      <c r="P225" s="275" t="s">
        <v>64</v>
      </c>
      <c r="Q225" s="263" t="s">
        <v>43</v>
      </c>
      <c r="R225" s="233"/>
      <c r="S225" s="282"/>
      <c r="T225" s="265"/>
      <c r="U225" s="265"/>
      <c r="V225" s="266" t="s">
        <v>34</v>
      </c>
      <c r="X225" s="240"/>
      <c r="Y225" s="268"/>
      <c r="Z225" s="240"/>
      <c r="AA225" s="241"/>
    </row>
    <row r="226" spans="1:27" s="267" customFormat="1">
      <c r="A226" s="232">
        <v>218</v>
      </c>
      <c r="B226" s="275" t="s">
        <v>21</v>
      </c>
      <c r="C226" s="275">
        <v>2</v>
      </c>
      <c r="D226" s="276" t="s">
        <v>22</v>
      </c>
      <c r="E226" s="275" t="s">
        <v>26</v>
      </c>
      <c r="F226" s="275">
        <v>101</v>
      </c>
      <c r="G226" s="234" t="s">
        <v>162</v>
      </c>
      <c r="H226" s="277">
        <v>2.4</v>
      </c>
      <c r="I226" s="263">
        <v>146</v>
      </c>
      <c r="J226" s="263">
        <v>128</v>
      </c>
      <c r="K226" s="277">
        <v>2.4</v>
      </c>
      <c r="L226" s="277"/>
      <c r="M226" s="280" t="s">
        <v>115</v>
      </c>
      <c r="N226" s="234" t="s">
        <v>398</v>
      </c>
      <c r="O226" s="281">
        <v>44201</v>
      </c>
      <c r="P226" s="275" t="s">
        <v>64</v>
      </c>
      <c r="Q226" s="263" t="s">
        <v>43</v>
      </c>
      <c r="R226" s="233"/>
      <c r="S226" s="282"/>
      <c r="T226" s="265"/>
      <c r="U226" s="265"/>
      <c r="V226" s="266" t="s">
        <v>34</v>
      </c>
      <c r="X226" s="240"/>
      <c r="Y226" s="268"/>
      <c r="Z226" s="240"/>
      <c r="AA226" s="241"/>
    </row>
    <row r="227" spans="1:27" s="267" customFormat="1">
      <c r="A227" s="232">
        <v>219</v>
      </c>
      <c r="B227" s="275" t="s">
        <v>21</v>
      </c>
      <c r="C227" s="275">
        <v>2</v>
      </c>
      <c r="D227" s="276" t="s">
        <v>32</v>
      </c>
      <c r="E227" s="275" t="s">
        <v>26</v>
      </c>
      <c r="F227" s="283">
        <v>91</v>
      </c>
      <c r="G227" s="283" t="s">
        <v>82</v>
      </c>
      <c r="H227" s="284">
        <v>3.4</v>
      </c>
      <c r="I227" s="285">
        <v>146</v>
      </c>
      <c r="J227" s="233">
        <v>127</v>
      </c>
      <c r="K227" s="284">
        <v>3.4</v>
      </c>
      <c r="L227" s="277"/>
      <c r="M227" s="280" t="s">
        <v>115</v>
      </c>
      <c r="N227" s="234" t="s">
        <v>399</v>
      </c>
      <c r="O227" s="281">
        <v>44217</v>
      </c>
      <c r="P227" s="275" t="s">
        <v>64</v>
      </c>
      <c r="Q227" s="263" t="s">
        <v>42</v>
      </c>
      <c r="R227" s="233"/>
      <c r="S227" s="282"/>
      <c r="T227" s="265"/>
      <c r="U227" s="265"/>
      <c r="V227" s="266"/>
      <c r="X227" s="240"/>
      <c r="Y227" s="268"/>
      <c r="Z227" s="240"/>
      <c r="AA227" s="241"/>
    </row>
    <row r="228" spans="1:27" s="267" customFormat="1">
      <c r="A228" s="232">
        <v>220</v>
      </c>
      <c r="B228" s="275" t="s">
        <v>21</v>
      </c>
      <c r="C228" s="275">
        <v>2</v>
      </c>
      <c r="D228" s="276" t="s">
        <v>32</v>
      </c>
      <c r="E228" s="275" t="s">
        <v>26</v>
      </c>
      <c r="F228" s="283">
        <v>91</v>
      </c>
      <c r="G228" s="283" t="s">
        <v>86</v>
      </c>
      <c r="H228" s="284">
        <v>4.5999999999999996</v>
      </c>
      <c r="I228" s="285">
        <v>74</v>
      </c>
      <c r="J228" s="233">
        <v>64</v>
      </c>
      <c r="K228" s="284">
        <v>4.5999999999999996</v>
      </c>
      <c r="L228" s="263"/>
      <c r="M228" s="280" t="s">
        <v>115</v>
      </c>
      <c r="N228" s="234" t="s">
        <v>399</v>
      </c>
      <c r="O228" s="281">
        <v>44217</v>
      </c>
      <c r="P228" s="275" t="s">
        <v>64</v>
      </c>
      <c r="Q228" s="263" t="s">
        <v>43</v>
      </c>
      <c r="R228" s="233"/>
      <c r="S228" s="282"/>
      <c r="T228" s="265"/>
      <c r="U228" s="265"/>
      <c r="V228" s="266" t="s">
        <v>36</v>
      </c>
      <c r="X228" s="240"/>
      <c r="Y228" s="268"/>
      <c r="Z228" s="240"/>
      <c r="AA228" s="241"/>
    </row>
    <row r="229" spans="1:27" s="267" customFormat="1">
      <c r="A229" s="232">
        <v>221</v>
      </c>
      <c r="B229" s="275" t="s">
        <v>21</v>
      </c>
      <c r="C229" s="275">
        <v>2</v>
      </c>
      <c r="D229" s="276" t="s">
        <v>32</v>
      </c>
      <c r="E229" s="275" t="s">
        <v>26</v>
      </c>
      <c r="F229" s="283">
        <v>93</v>
      </c>
      <c r="G229" s="283" t="s">
        <v>77</v>
      </c>
      <c r="H229" s="285">
        <v>5.6</v>
      </c>
      <c r="I229" s="285">
        <v>186</v>
      </c>
      <c r="J229" s="233">
        <v>118</v>
      </c>
      <c r="K229" s="285">
        <v>5.6</v>
      </c>
      <c r="L229" s="263"/>
      <c r="M229" s="280" t="s">
        <v>115</v>
      </c>
      <c r="N229" s="234" t="s">
        <v>399</v>
      </c>
      <c r="O229" s="281">
        <v>44217</v>
      </c>
      <c r="P229" s="275" t="s">
        <v>64</v>
      </c>
      <c r="Q229" s="263" t="s">
        <v>43</v>
      </c>
      <c r="R229" s="233"/>
      <c r="S229" s="282"/>
      <c r="T229" s="265"/>
      <c r="U229" s="265"/>
      <c r="V229" s="266"/>
      <c r="X229" s="240"/>
      <c r="Y229" s="268"/>
      <c r="Z229" s="240"/>
      <c r="AA229" s="241"/>
    </row>
    <row r="230" spans="1:27" s="267" customFormat="1">
      <c r="A230" s="232">
        <v>222</v>
      </c>
      <c r="B230" s="275" t="s">
        <v>21</v>
      </c>
      <c r="C230" s="275">
        <v>2</v>
      </c>
      <c r="D230" s="276" t="s">
        <v>32</v>
      </c>
      <c r="E230" s="275" t="s">
        <v>26</v>
      </c>
      <c r="F230" s="283">
        <v>97</v>
      </c>
      <c r="G230" s="283" t="s">
        <v>80</v>
      </c>
      <c r="H230" s="285">
        <v>3.7</v>
      </c>
      <c r="I230" s="285">
        <v>106</v>
      </c>
      <c r="J230" s="233">
        <v>101</v>
      </c>
      <c r="K230" s="285">
        <v>3.7</v>
      </c>
      <c r="L230" s="263"/>
      <c r="M230" s="280" t="s">
        <v>115</v>
      </c>
      <c r="N230" s="234" t="s">
        <v>399</v>
      </c>
      <c r="O230" s="281">
        <v>44217</v>
      </c>
      <c r="P230" s="275" t="s">
        <v>64</v>
      </c>
      <c r="Q230" s="263" t="s">
        <v>42</v>
      </c>
      <c r="R230" s="233"/>
      <c r="S230" s="282"/>
      <c r="T230" s="265"/>
      <c r="U230" s="265"/>
      <c r="V230" s="266"/>
      <c r="X230" s="240"/>
      <c r="Y230" s="268"/>
      <c r="Z230" s="240"/>
      <c r="AA230" s="241"/>
    </row>
    <row r="231" spans="1:27" s="267" customFormat="1">
      <c r="A231" s="232">
        <v>223</v>
      </c>
      <c r="B231" s="275" t="s">
        <v>21</v>
      </c>
      <c r="C231" s="275">
        <v>2</v>
      </c>
      <c r="D231" s="276" t="s">
        <v>32</v>
      </c>
      <c r="E231" s="275" t="s">
        <v>26</v>
      </c>
      <c r="F231" s="283">
        <v>97</v>
      </c>
      <c r="G231" s="283" t="s">
        <v>78</v>
      </c>
      <c r="H231" s="285">
        <v>2.6</v>
      </c>
      <c r="I231" s="285">
        <v>87</v>
      </c>
      <c r="J231" s="233">
        <v>82</v>
      </c>
      <c r="K231" s="285">
        <v>2.6</v>
      </c>
      <c r="L231" s="263"/>
      <c r="M231" s="280" t="s">
        <v>115</v>
      </c>
      <c r="N231" s="234" t="s">
        <v>399</v>
      </c>
      <c r="O231" s="281">
        <v>44217</v>
      </c>
      <c r="P231" s="275" t="s">
        <v>64</v>
      </c>
      <c r="Q231" s="263" t="s">
        <v>42</v>
      </c>
      <c r="R231" s="233"/>
      <c r="S231" s="282"/>
      <c r="T231" s="265"/>
      <c r="U231" s="265"/>
      <c r="V231" s="266"/>
      <c r="X231" s="240"/>
      <c r="Y231" s="268"/>
      <c r="Z231" s="240"/>
      <c r="AA231" s="241"/>
    </row>
    <row r="232" spans="1:27" s="267" customFormat="1">
      <c r="A232" s="232">
        <v>224</v>
      </c>
      <c r="B232" s="275" t="s">
        <v>21</v>
      </c>
      <c r="C232" s="275">
        <v>2</v>
      </c>
      <c r="D232" s="276" t="s">
        <v>32</v>
      </c>
      <c r="E232" s="275" t="s">
        <v>26</v>
      </c>
      <c r="F232" s="283">
        <v>97</v>
      </c>
      <c r="G232" s="283" t="s">
        <v>84</v>
      </c>
      <c r="H232" s="284">
        <v>6.9</v>
      </c>
      <c r="I232" s="285">
        <v>103</v>
      </c>
      <c r="J232" s="233">
        <v>85</v>
      </c>
      <c r="K232" s="284">
        <v>6.9</v>
      </c>
      <c r="L232" s="263"/>
      <c r="M232" s="280" t="s">
        <v>115</v>
      </c>
      <c r="N232" s="234" t="s">
        <v>399</v>
      </c>
      <c r="O232" s="281">
        <v>44217</v>
      </c>
      <c r="P232" s="275" t="s">
        <v>64</v>
      </c>
      <c r="Q232" s="263" t="s">
        <v>42</v>
      </c>
      <c r="R232" s="233"/>
      <c r="S232" s="282"/>
      <c r="T232" s="265"/>
      <c r="U232" s="265"/>
      <c r="V232" s="266"/>
      <c r="X232" s="240"/>
      <c r="Y232" s="268"/>
      <c r="Z232" s="240"/>
      <c r="AA232" s="241"/>
    </row>
    <row r="233" spans="1:27" s="267" customFormat="1">
      <c r="A233" s="232">
        <v>225</v>
      </c>
      <c r="B233" s="275" t="s">
        <v>21</v>
      </c>
      <c r="C233" s="275">
        <v>2</v>
      </c>
      <c r="D233" s="276" t="s">
        <v>32</v>
      </c>
      <c r="E233" s="275" t="s">
        <v>26</v>
      </c>
      <c r="F233" s="283">
        <v>98</v>
      </c>
      <c r="G233" s="283" t="s">
        <v>89</v>
      </c>
      <c r="H233" s="285">
        <v>3.2</v>
      </c>
      <c r="I233" s="285">
        <v>79</v>
      </c>
      <c r="J233" s="233">
        <v>70</v>
      </c>
      <c r="K233" s="285">
        <v>3.2</v>
      </c>
      <c r="L233" s="263"/>
      <c r="M233" s="280" t="s">
        <v>115</v>
      </c>
      <c r="N233" s="234" t="s">
        <v>399</v>
      </c>
      <c r="O233" s="281">
        <v>44217</v>
      </c>
      <c r="P233" s="275" t="s">
        <v>64</v>
      </c>
      <c r="Q233" s="263" t="s">
        <v>42</v>
      </c>
      <c r="R233" s="233"/>
      <c r="S233" s="282"/>
      <c r="T233" s="265"/>
      <c r="U233" s="265"/>
      <c r="V233" s="266"/>
      <c r="X233" s="240"/>
      <c r="Y233" s="268"/>
      <c r="Z233" s="240"/>
      <c r="AA233" s="241"/>
    </row>
    <row r="234" spans="1:27" s="267" customFormat="1">
      <c r="A234" s="232">
        <v>226</v>
      </c>
      <c r="B234" s="275" t="s">
        <v>21</v>
      </c>
      <c r="C234" s="275">
        <v>2</v>
      </c>
      <c r="D234" s="276" t="s">
        <v>204</v>
      </c>
      <c r="E234" s="275" t="s">
        <v>26</v>
      </c>
      <c r="F234" s="283">
        <v>98</v>
      </c>
      <c r="G234" s="283" t="s">
        <v>91</v>
      </c>
      <c r="H234" s="284">
        <v>11</v>
      </c>
      <c r="I234" s="285">
        <v>257</v>
      </c>
      <c r="J234" s="233">
        <v>238</v>
      </c>
      <c r="K234" s="284">
        <v>11</v>
      </c>
      <c r="L234" s="263"/>
      <c r="M234" s="280" t="s">
        <v>115</v>
      </c>
      <c r="N234" s="234" t="s">
        <v>399</v>
      </c>
      <c r="O234" s="281">
        <v>44217</v>
      </c>
      <c r="P234" s="275" t="s">
        <v>64</v>
      </c>
      <c r="Q234" s="263" t="s">
        <v>42</v>
      </c>
      <c r="R234" s="233"/>
      <c r="S234" s="282"/>
      <c r="T234" s="265"/>
      <c r="U234" s="265"/>
      <c r="V234" s="266"/>
      <c r="X234" s="240"/>
      <c r="Y234" s="268"/>
      <c r="Z234" s="240"/>
      <c r="AA234" s="241"/>
    </row>
    <row r="235" spans="1:27" s="267" customFormat="1">
      <c r="A235" s="232">
        <v>227</v>
      </c>
      <c r="B235" s="275" t="s">
        <v>21</v>
      </c>
      <c r="C235" s="275">
        <v>2</v>
      </c>
      <c r="D235" s="276" t="s">
        <v>204</v>
      </c>
      <c r="E235" s="275" t="s">
        <v>26</v>
      </c>
      <c r="F235" s="283">
        <v>102</v>
      </c>
      <c r="G235" s="283" t="s">
        <v>82</v>
      </c>
      <c r="H235" s="285">
        <v>0.6</v>
      </c>
      <c r="I235" s="285">
        <v>16</v>
      </c>
      <c r="J235" s="233">
        <v>15</v>
      </c>
      <c r="K235" s="285">
        <v>0.6</v>
      </c>
      <c r="L235" s="263"/>
      <c r="M235" s="280" t="s">
        <v>115</v>
      </c>
      <c r="N235" s="234" t="s">
        <v>399</v>
      </c>
      <c r="O235" s="281">
        <v>44217</v>
      </c>
      <c r="P235" s="275" t="s">
        <v>64</v>
      </c>
      <c r="Q235" s="263" t="s">
        <v>43</v>
      </c>
      <c r="R235" s="233"/>
      <c r="S235" s="282"/>
      <c r="T235" s="265"/>
      <c r="U235" s="265"/>
      <c r="V235" s="266"/>
      <c r="X235" s="240"/>
      <c r="Y235" s="268"/>
      <c r="Z235" s="240"/>
      <c r="AA235" s="241"/>
    </row>
    <row r="236" spans="1:27" s="267" customFormat="1">
      <c r="A236" s="232">
        <v>228</v>
      </c>
      <c r="B236" s="275" t="s">
        <v>21</v>
      </c>
      <c r="C236" s="275">
        <v>2</v>
      </c>
      <c r="D236" s="276" t="s">
        <v>204</v>
      </c>
      <c r="E236" s="275" t="s">
        <v>26</v>
      </c>
      <c r="F236" s="283">
        <v>102</v>
      </c>
      <c r="G236" s="283" t="s">
        <v>84</v>
      </c>
      <c r="H236" s="284">
        <v>11.5</v>
      </c>
      <c r="I236" s="285">
        <v>165</v>
      </c>
      <c r="J236" s="233">
        <v>119</v>
      </c>
      <c r="K236" s="284">
        <v>11.5</v>
      </c>
      <c r="L236" s="263"/>
      <c r="M236" s="280" t="s">
        <v>115</v>
      </c>
      <c r="N236" s="234" t="s">
        <v>399</v>
      </c>
      <c r="O236" s="281">
        <v>44217</v>
      </c>
      <c r="P236" s="275" t="s">
        <v>64</v>
      </c>
      <c r="Q236" s="263" t="s">
        <v>43</v>
      </c>
      <c r="R236" s="233"/>
      <c r="S236" s="282"/>
      <c r="T236" s="265"/>
      <c r="U236" s="265"/>
      <c r="V236" s="266"/>
      <c r="X236" s="240"/>
      <c r="Y236" s="268"/>
      <c r="Z236" s="240"/>
      <c r="AA236" s="241"/>
    </row>
    <row r="237" spans="1:27" s="267" customFormat="1">
      <c r="A237" s="232">
        <v>229</v>
      </c>
      <c r="B237" s="275" t="s">
        <v>21</v>
      </c>
      <c r="C237" s="275">
        <v>2</v>
      </c>
      <c r="D237" s="276" t="s">
        <v>204</v>
      </c>
      <c r="E237" s="275" t="s">
        <v>26</v>
      </c>
      <c r="F237" s="283">
        <v>103</v>
      </c>
      <c r="G237" s="283" t="s">
        <v>74</v>
      </c>
      <c r="H237" s="284">
        <v>14</v>
      </c>
      <c r="I237" s="285">
        <v>573</v>
      </c>
      <c r="J237" s="233">
        <v>522</v>
      </c>
      <c r="K237" s="284">
        <v>14</v>
      </c>
      <c r="L237" s="263"/>
      <c r="M237" s="280" t="s">
        <v>115</v>
      </c>
      <c r="N237" s="234" t="s">
        <v>399</v>
      </c>
      <c r="O237" s="281">
        <v>44217</v>
      </c>
      <c r="P237" s="275" t="s">
        <v>64</v>
      </c>
      <c r="Q237" s="263" t="s">
        <v>42</v>
      </c>
      <c r="R237" s="233"/>
      <c r="S237" s="282"/>
      <c r="T237" s="265"/>
      <c r="U237" s="265"/>
      <c r="V237" s="266"/>
      <c r="X237" s="240"/>
      <c r="Y237" s="268"/>
      <c r="Z237" s="240"/>
      <c r="AA237" s="241"/>
    </row>
    <row r="238" spans="1:27" s="267" customFormat="1">
      <c r="A238" s="232">
        <v>230</v>
      </c>
      <c r="B238" s="275" t="s">
        <v>21</v>
      </c>
      <c r="C238" s="275">
        <v>2</v>
      </c>
      <c r="D238" s="276" t="s">
        <v>400</v>
      </c>
      <c r="E238" s="275" t="s">
        <v>26</v>
      </c>
      <c r="F238" s="275">
        <v>104</v>
      </c>
      <c r="G238" s="234" t="s">
        <v>91</v>
      </c>
      <c r="H238" s="277">
        <v>0.3</v>
      </c>
      <c r="I238" s="263">
        <v>1</v>
      </c>
      <c r="J238" s="263"/>
      <c r="K238" s="277">
        <v>0.3</v>
      </c>
      <c r="L238" s="263"/>
      <c r="M238" s="280" t="s">
        <v>115</v>
      </c>
      <c r="N238" s="234" t="s">
        <v>402</v>
      </c>
      <c r="O238" s="281">
        <v>44217</v>
      </c>
      <c r="P238" s="275" t="s">
        <v>64</v>
      </c>
      <c r="Q238" s="263" t="s">
        <v>43</v>
      </c>
      <c r="R238" s="233"/>
      <c r="S238" s="282"/>
      <c r="T238" s="265"/>
      <c r="U238" s="265"/>
      <c r="V238" s="266"/>
      <c r="X238" s="240"/>
      <c r="Y238" s="268"/>
      <c r="Z238" s="240"/>
      <c r="AA238" s="241"/>
    </row>
    <row r="239" spans="1:27" s="267" customFormat="1">
      <c r="A239" s="232">
        <v>231</v>
      </c>
      <c r="B239" s="275" t="s">
        <v>21</v>
      </c>
      <c r="C239" s="275">
        <v>2</v>
      </c>
      <c r="D239" s="276" t="s">
        <v>400</v>
      </c>
      <c r="E239" s="275" t="s">
        <v>26</v>
      </c>
      <c r="F239" s="275">
        <v>105</v>
      </c>
      <c r="G239" s="234" t="s">
        <v>401</v>
      </c>
      <c r="H239" s="277">
        <v>0.3</v>
      </c>
      <c r="I239" s="263">
        <v>1</v>
      </c>
      <c r="J239" s="263"/>
      <c r="K239" s="277">
        <v>0.3</v>
      </c>
      <c r="L239" s="263"/>
      <c r="M239" s="280" t="s">
        <v>115</v>
      </c>
      <c r="N239" s="234" t="s">
        <v>402</v>
      </c>
      <c r="O239" s="281">
        <v>44217</v>
      </c>
      <c r="P239" s="275" t="s">
        <v>64</v>
      </c>
      <c r="Q239" s="263" t="s">
        <v>43</v>
      </c>
      <c r="R239" s="233"/>
      <c r="S239" s="282"/>
      <c r="T239" s="265"/>
      <c r="U239" s="265"/>
      <c r="V239" s="266"/>
      <c r="X239" s="240"/>
      <c r="Y239" s="268"/>
      <c r="Z239" s="240"/>
      <c r="AA239" s="241"/>
    </row>
    <row r="240" spans="1:27" s="267" customFormat="1">
      <c r="A240" s="232">
        <v>232</v>
      </c>
      <c r="B240" s="275" t="s">
        <v>21</v>
      </c>
      <c r="C240" s="275">
        <v>2</v>
      </c>
      <c r="D240" s="276" t="s">
        <v>400</v>
      </c>
      <c r="E240" s="275" t="s">
        <v>26</v>
      </c>
      <c r="F240" s="275">
        <v>106</v>
      </c>
      <c r="G240" s="234" t="s">
        <v>68</v>
      </c>
      <c r="H240" s="277">
        <v>0.6</v>
      </c>
      <c r="I240" s="263">
        <v>1</v>
      </c>
      <c r="J240" s="263"/>
      <c r="K240" s="277">
        <v>0.6</v>
      </c>
      <c r="L240" s="263"/>
      <c r="M240" s="280" t="s">
        <v>115</v>
      </c>
      <c r="N240" s="234" t="s">
        <v>402</v>
      </c>
      <c r="O240" s="281">
        <v>44217</v>
      </c>
      <c r="P240" s="275" t="s">
        <v>64</v>
      </c>
      <c r="Q240" s="263" t="s">
        <v>43</v>
      </c>
      <c r="R240" s="233"/>
      <c r="S240" s="282"/>
      <c r="T240" s="265"/>
      <c r="U240" s="265"/>
      <c r="V240" s="266"/>
      <c r="X240" s="240"/>
      <c r="Y240" s="268"/>
      <c r="Z240" s="240"/>
      <c r="AA240" s="241"/>
    </row>
    <row r="241" spans="1:27" s="267" customFormat="1">
      <c r="A241" s="232">
        <v>233</v>
      </c>
      <c r="B241" s="275" t="s">
        <v>21</v>
      </c>
      <c r="C241" s="275">
        <v>2</v>
      </c>
      <c r="D241" s="276" t="s">
        <v>400</v>
      </c>
      <c r="E241" s="275" t="s">
        <v>26</v>
      </c>
      <c r="F241" s="275">
        <v>107</v>
      </c>
      <c r="G241" s="234" t="s">
        <v>74</v>
      </c>
      <c r="H241" s="277">
        <v>0.5</v>
      </c>
      <c r="I241" s="263">
        <v>2</v>
      </c>
      <c r="J241" s="263"/>
      <c r="K241" s="277">
        <v>0.5</v>
      </c>
      <c r="L241" s="263"/>
      <c r="M241" s="280" t="s">
        <v>115</v>
      </c>
      <c r="N241" s="234" t="s">
        <v>402</v>
      </c>
      <c r="O241" s="281">
        <v>44217</v>
      </c>
      <c r="P241" s="275" t="s">
        <v>64</v>
      </c>
      <c r="Q241" s="263" t="s">
        <v>43</v>
      </c>
      <c r="R241" s="233"/>
      <c r="S241" s="282"/>
      <c r="T241" s="265"/>
      <c r="U241" s="265"/>
      <c r="V241" s="266"/>
      <c r="X241" s="240"/>
      <c r="Y241" s="268"/>
      <c r="Z241" s="240"/>
      <c r="AA241" s="241"/>
    </row>
    <row r="242" spans="1:27" s="267" customFormat="1">
      <c r="A242" s="232">
        <v>234</v>
      </c>
      <c r="B242" s="275" t="s">
        <v>21</v>
      </c>
      <c r="C242" s="275">
        <v>2</v>
      </c>
      <c r="D242" s="276" t="s">
        <v>400</v>
      </c>
      <c r="E242" s="275" t="s">
        <v>26</v>
      </c>
      <c r="F242" s="275">
        <v>108</v>
      </c>
      <c r="G242" s="234" t="s">
        <v>91</v>
      </c>
      <c r="H242" s="277">
        <v>0.1</v>
      </c>
      <c r="I242" s="263">
        <v>1</v>
      </c>
      <c r="J242" s="263"/>
      <c r="K242" s="277">
        <v>0.1</v>
      </c>
      <c r="L242" s="263"/>
      <c r="M242" s="280" t="s">
        <v>115</v>
      </c>
      <c r="N242" s="234" t="s">
        <v>402</v>
      </c>
      <c r="O242" s="281">
        <v>44217</v>
      </c>
      <c r="P242" s="275" t="s">
        <v>64</v>
      </c>
      <c r="Q242" s="263" t="s">
        <v>43</v>
      </c>
      <c r="R242" s="233"/>
      <c r="S242" s="282"/>
      <c r="T242" s="265"/>
      <c r="U242" s="265"/>
      <c r="V242" s="266"/>
      <c r="X242" s="240"/>
      <c r="Y242" s="268"/>
      <c r="Z242" s="240"/>
      <c r="AA242" s="241"/>
    </row>
    <row r="243" spans="1:27" s="267" customFormat="1">
      <c r="A243" s="232">
        <v>235</v>
      </c>
      <c r="B243" s="275" t="s">
        <v>21</v>
      </c>
      <c r="C243" s="275">
        <v>2</v>
      </c>
      <c r="D243" s="276" t="s">
        <v>400</v>
      </c>
      <c r="E243" s="275" t="s">
        <v>26</v>
      </c>
      <c r="F243" s="275">
        <v>109</v>
      </c>
      <c r="G243" s="234" t="s">
        <v>77</v>
      </c>
      <c r="H243" s="277">
        <v>0.2</v>
      </c>
      <c r="I243" s="263">
        <v>1</v>
      </c>
      <c r="J243" s="263"/>
      <c r="K243" s="277">
        <v>0.2</v>
      </c>
      <c r="L243" s="263"/>
      <c r="M243" s="280" t="s">
        <v>115</v>
      </c>
      <c r="N243" s="234" t="s">
        <v>402</v>
      </c>
      <c r="O243" s="281">
        <v>44217</v>
      </c>
      <c r="P243" s="275" t="s">
        <v>64</v>
      </c>
      <c r="Q243" s="263" t="s">
        <v>43</v>
      </c>
      <c r="R243" s="233"/>
      <c r="S243" s="282"/>
      <c r="T243" s="265"/>
      <c r="U243" s="265"/>
      <c r="V243" s="266"/>
      <c r="X243" s="240"/>
      <c r="Y243" s="268"/>
      <c r="Z243" s="240"/>
      <c r="AA243" s="241"/>
    </row>
    <row r="244" spans="1:27" s="267" customFormat="1">
      <c r="A244" s="232">
        <v>236</v>
      </c>
      <c r="B244" s="275" t="s">
        <v>21</v>
      </c>
      <c r="C244" s="275">
        <v>2</v>
      </c>
      <c r="D244" s="276" t="s">
        <v>400</v>
      </c>
      <c r="E244" s="275" t="s">
        <v>26</v>
      </c>
      <c r="F244" s="275">
        <v>18</v>
      </c>
      <c r="G244" s="234" t="s">
        <v>82</v>
      </c>
      <c r="H244" s="277">
        <v>0.4</v>
      </c>
      <c r="I244" s="263">
        <v>1</v>
      </c>
      <c r="J244" s="263"/>
      <c r="K244" s="277">
        <v>0.4</v>
      </c>
      <c r="L244" s="263"/>
      <c r="M244" s="280" t="s">
        <v>115</v>
      </c>
      <c r="N244" s="234" t="s">
        <v>402</v>
      </c>
      <c r="O244" s="281">
        <v>44217</v>
      </c>
      <c r="P244" s="275" t="s">
        <v>64</v>
      </c>
      <c r="Q244" s="263" t="s">
        <v>42</v>
      </c>
      <c r="R244" s="233"/>
      <c r="S244" s="282"/>
      <c r="T244" s="265"/>
      <c r="U244" s="265"/>
      <c r="V244" s="266"/>
      <c r="X244" s="240"/>
      <c r="Y244" s="268"/>
      <c r="Z244" s="240"/>
      <c r="AA244" s="241"/>
    </row>
    <row r="245" spans="1:27" s="267" customFormat="1">
      <c r="A245" s="232">
        <v>237</v>
      </c>
      <c r="B245" s="275" t="s">
        <v>21</v>
      </c>
      <c r="C245" s="275">
        <v>2</v>
      </c>
      <c r="D245" s="276" t="s">
        <v>400</v>
      </c>
      <c r="E245" s="275" t="s">
        <v>26</v>
      </c>
      <c r="F245" s="275">
        <v>95</v>
      </c>
      <c r="G245" s="234" t="s">
        <v>82</v>
      </c>
      <c r="H245" s="277">
        <v>0.3</v>
      </c>
      <c r="I245" s="263">
        <v>1</v>
      </c>
      <c r="J245" s="263"/>
      <c r="K245" s="277">
        <v>0.3</v>
      </c>
      <c r="L245" s="263"/>
      <c r="M245" s="280" t="s">
        <v>115</v>
      </c>
      <c r="N245" s="234" t="s">
        <v>402</v>
      </c>
      <c r="O245" s="281">
        <v>44217</v>
      </c>
      <c r="P245" s="275" t="s">
        <v>64</v>
      </c>
      <c r="Q245" s="263" t="s">
        <v>42</v>
      </c>
      <c r="R245" s="233"/>
      <c r="S245" s="282"/>
      <c r="T245" s="265"/>
      <c r="U245" s="265"/>
      <c r="V245" s="266"/>
      <c r="X245" s="240"/>
      <c r="Y245" s="268"/>
      <c r="Z245" s="240"/>
      <c r="AA245" s="241"/>
    </row>
    <row r="246" spans="1:27" s="267" customFormat="1">
      <c r="A246" s="232">
        <v>238</v>
      </c>
      <c r="B246" s="275" t="s">
        <v>21</v>
      </c>
      <c r="C246" s="275">
        <v>2</v>
      </c>
      <c r="D246" s="276" t="s">
        <v>400</v>
      </c>
      <c r="E246" s="275" t="s">
        <v>26</v>
      </c>
      <c r="F246" s="275">
        <v>96</v>
      </c>
      <c r="G246" s="234" t="s">
        <v>81</v>
      </c>
      <c r="H246" s="277">
        <v>0.6</v>
      </c>
      <c r="I246" s="263">
        <v>2</v>
      </c>
      <c r="J246" s="263"/>
      <c r="K246" s="277">
        <v>0.6</v>
      </c>
      <c r="L246" s="263"/>
      <c r="M246" s="280" t="s">
        <v>115</v>
      </c>
      <c r="N246" s="234" t="s">
        <v>402</v>
      </c>
      <c r="O246" s="281">
        <v>44217</v>
      </c>
      <c r="P246" s="275" t="s">
        <v>64</v>
      </c>
      <c r="Q246" s="263" t="s">
        <v>42</v>
      </c>
      <c r="R246" s="233"/>
      <c r="S246" s="282"/>
      <c r="T246" s="265"/>
      <c r="U246" s="265"/>
      <c r="V246" s="266"/>
      <c r="X246" s="240"/>
      <c r="Y246" s="268"/>
      <c r="Z246" s="240"/>
      <c r="AA246" s="241"/>
    </row>
    <row r="247" spans="1:27" s="267" customFormat="1">
      <c r="A247" s="232">
        <v>239</v>
      </c>
      <c r="B247" s="275" t="s">
        <v>21</v>
      </c>
      <c r="C247" s="275">
        <v>2</v>
      </c>
      <c r="D247" s="276" t="s">
        <v>400</v>
      </c>
      <c r="E247" s="275" t="s">
        <v>26</v>
      </c>
      <c r="F247" s="275">
        <v>12</v>
      </c>
      <c r="G247" s="234" t="s">
        <v>89</v>
      </c>
      <c r="H247" s="277">
        <v>0.5</v>
      </c>
      <c r="I247" s="263">
        <v>1</v>
      </c>
      <c r="J247" s="263"/>
      <c r="K247" s="277">
        <v>0.5</v>
      </c>
      <c r="L247" s="263"/>
      <c r="M247" s="280" t="s">
        <v>115</v>
      </c>
      <c r="N247" s="234" t="s">
        <v>402</v>
      </c>
      <c r="O247" s="281">
        <v>44217</v>
      </c>
      <c r="P247" s="275" t="s">
        <v>64</v>
      </c>
      <c r="Q247" s="263" t="s">
        <v>42</v>
      </c>
      <c r="R247" s="233"/>
      <c r="S247" s="282"/>
      <c r="T247" s="265"/>
      <c r="U247" s="265"/>
      <c r="V247" s="266"/>
      <c r="X247" s="240"/>
      <c r="Y247" s="268"/>
      <c r="Z247" s="240"/>
      <c r="AA247" s="241"/>
    </row>
    <row r="248" spans="1:27" s="267" customFormat="1">
      <c r="A248" s="232">
        <v>240</v>
      </c>
      <c r="B248" s="275" t="s">
        <v>21</v>
      </c>
      <c r="C248" s="275">
        <v>2</v>
      </c>
      <c r="D248" s="276" t="s">
        <v>400</v>
      </c>
      <c r="E248" s="275" t="s">
        <v>26</v>
      </c>
      <c r="F248" s="275">
        <v>8</v>
      </c>
      <c r="G248" s="234" t="s">
        <v>88</v>
      </c>
      <c r="H248" s="277">
        <v>0.4</v>
      </c>
      <c r="I248" s="263">
        <v>1</v>
      </c>
      <c r="J248" s="263"/>
      <c r="K248" s="277">
        <v>0.4</v>
      </c>
      <c r="L248" s="263"/>
      <c r="M248" s="280" t="s">
        <v>115</v>
      </c>
      <c r="N248" s="234" t="s">
        <v>402</v>
      </c>
      <c r="O248" s="281">
        <v>44217</v>
      </c>
      <c r="P248" s="275" t="s">
        <v>64</v>
      </c>
      <c r="Q248" s="263" t="s">
        <v>42</v>
      </c>
      <c r="R248" s="233"/>
      <c r="S248" s="282"/>
      <c r="T248" s="265"/>
      <c r="U248" s="265"/>
      <c r="V248" s="266"/>
      <c r="X248" s="240"/>
      <c r="Y248" s="268"/>
      <c r="Z248" s="240"/>
      <c r="AA248" s="241"/>
    </row>
    <row r="249" spans="1:27" s="267" customFormat="1" ht="20.25" customHeight="1">
      <c r="A249" s="232">
        <v>241</v>
      </c>
      <c r="B249" s="275" t="s">
        <v>8</v>
      </c>
      <c r="C249" s="275">
        <v>4</v>
      </c>
      <c r="D249" s="276" t="s">
        <v>31</v>
      </c>
      <c r="E249" s="275" t="s">
        <v>26</v>
      </c>
      <c r="F249" s="275">
        <v>61</v>
      </c>
      <c r="G249" s="234" t="s">
        <v>87</v>
      </c>
      <c r="H249" s="277">
        <v>2.8</v>
      </c>
      <c r="I249" s="263">
        <v>29</v>
      </c>
      <c r="J249" s="263"/>
      <c r="K249" s="277">
        <v>2.8</v>
      </c>
      <c r="L249" s="263"/>
      <c r="M249" s="280" t="s">
        <v>115</v>
      </c>
      <c r="N249" s="234" t="s">
        <v>403</v>
      </c>
      <c r="O249" s="281">
        <v>44211</v>
      </c>
      <c r="P249" s="275" t="s">
        <v>63</v>
      </c>
      <c r="Q249" s="263" t="s">
        <v>454</v>
      </c>
      <c r="R249" s="233"/>
      <c r="S249" s="282"/>
      <c r="T249" s="265"/>
      <c r="U249" s="265"/>
      <c r="V249" s="266" t="s">
        <v>36</v>
      </c>
      <c r="X249" s="240"/>
      <c r="Y249" s="268"/>
      <c r="Z249" s="240"/>
      <c r="AA249" s="241"/>
    </row>
    <row r="250" spans="1:27" s="267" customFormat="1" ht="20.25" customHeight="1">
      <c r="A250" s="232">
        <v>242</v>
      </c>
      <c r="B250" s="275" t="s">
        <v>8</v>
      </c>
      <c r="C250" s="275">
        <v>4</v>
      </c>
      <c r="D250" s="276" t="s">
        <v>31</v>
      </c>
      <c r="E250" s="275" t="s">
        <v>26</v>
      </c>
      <c r="F250" s="275">
        <v>84</v>
      </c>
      <c r="G250" s="234" t="s">
        <v>97</v>
      </c>
      <c r="H250" s="277">
        <v>2.2000000000000002</v>
      </c>
      <c r="I250" s="263">
        <v>15</v>
      </c>
      <c r="J250" s="263"/>
      <c r="K250" s="277">
        <v>2.2000000000000002</v>
      </c>
      <c r="L250" s="263"/>
      <c r="M250" s="280" t="s">
        <v>115</v>
      </c>
      <c r="N250" s="234" t="s">
        <v>403</v>
      </c>
      <c r="O250" s="281">
        <v>44211</v>
      </c>
      <c r="P250" s="275" t="s">
        <v>63</v>
      </c>
      <c r="Q250" s="263" t="s">
        <v>454</v>
      </c>
      <c r="R250" s="233"/>
      <c r="S250" s="282"/>
      <c r="T250" s="265"/>
      <c r="U250" s="265"/>
      <c r="V250" s="266"/>
      <c r="X250" s="240"/>
      <c r="Y250" s="268"/>
      <c r="Z250" s="240"/>
      <c r="AA250" s="241"/>
    </row>
    <row r="251" spans="1:27" s="267" customFormat="1" ht="20.25" customHeight="1">
      <c r="A251" s="232">
        <v>243</v>
      </c>
      <c r="B251" s="275" t="s">
        <v>8</v>
      </c>
      <c r="C251" s="275">
        <v>4</v>
      </c>
      <c r="D251" s="276" t="s">
        <v>31</v>
      </c>
      <c r="E251" s="275" t="s">
        <v>26</v>
      </c>
      <c r="F251" s="275">
        <v>86</v>
      </c>
      <c r="G251" s="234" t="s">
        <v>69</v>
      </c>
      <c r="H251" s="277">
        <v>2.4</v>
      </c>
      <c r="I251" s="263">
        <v>4</v>
      </c>
      <c r="J251" s="263"/>
      <c r="K251" s="277">
        <v>2.4</v>
      </c>
      <c r="L251" s="263"/>
      <c r="M251" s="280" t="s">
        <v>115</v>
      </c>
      <c r="N251" s="234" t="s">
        <v>403</v>
      </c>
      <c r="O251" s="281">
        <v>44211</v>
      </c>
      <c r="P251" s="275" t="s">
        <v>64</v>
      </c>
      <c r="Q251" s="263" t="s">
        <v>454</v>
      </c>
      <c r="R251" s="233"/>
      <c r="S251" s="282"/>
      <c r="T251" s="265"/>
      <c r="U251" s="265"/>
      <c r="V251" s="266"/>
      <c r="X251" s="240"/>
      <c r="Y251" s="268"/>
      <c r="Z251" s="240"/>
      <c r="AA251" s="241"/>
    </row>
    <row r="252" spans="1:27" s="267" customFormat="1" ht="20.25" customHeight="1">
      <c r="A252" s="232">
        <v>244</v>
      </c>
      <c r="B252" s="275" t="s">
        <v>8</v>
      </c>
      <c r="C252" s="275">
        <v>4</v>
      </c>
      <c r="D252" s="276" t="s">
        <v>31</v>
      </c>
      <c r="E252" s="275" t="s">
        <v>26</v>
      </c>
      <c r="F252" s="275">
        <v>89</v>
      </c>
      <c r="G252" s="234" t="s">
        <v>87</v>
      </c>
      <c r="H252" s="277">
        <v>4.3</v>
      </c>
      <c r="I252" s="263">
        <v>22</v>
      </c>
      <c r="J252" s="263"/>
      <c r="K252" s="277">
        <v>4.3</v>
      </c>
      <c r="L252" s="263"/>
      <c r="M252" s="280" t="s">
        <v>115</v>
      </c>
      <c r="N252" s="234" t="s">
        <v>403</v>
      </c>
      <c r="O252" s="281">
        <v>44211</v>
      </c>
      <c r="P252" s="275" t="s">
        <v>64</v>
      </c>
      <c r="Q252" s="263" t="s">
        <v>454</v>
      </c>
      <c r="R252" s="233"/>
      <c r="S252" s="282"/>
      <c r="T252" s="265"/>
      <c r="U252" s="265"/>
      <c r="V252" s="266"/>
      <c r="X252" s="240"/>
      <c r="Y252" s="268"/>
      <c r="Z252" s="240"/>
      <c r="AA252" s="241"/>
    </row>
    <row r="253" spans="1:27" s="267" customFormat="1" ht="20.25" customHeight="1">
      <c r="A253" s="232">
        <v>245</v>
      </c>
      <c r="B253" s="275" t="s">
        <v>8</v>
      </c>
      <c r="C253" s="275">
        <v>4</v>
      </c>
      <c r="D253" s="276" t="s">
        <v>31</v>
      </c>
      <c r="E253" s="275" t="s">
        <v>26</v>
      </c>
      <c r="F253" s="275">
        <v>89</v>
      </c>
      <c r="G253" s="234" t="s">
        <v>68</v>
      </c>
      <c r="H253" s="277">
        <v>3</v>
      </c>
      <c r="I253" s="263">
        <v>14</v>
      </c>
      <c r="J253" s="263"/>
      <c r="K253" s="277">
        <v>3</v>
      </c>
      <c r="L253" s="263"/>
      <c r="M253" s="280" t="s">
        <v>115</v>
      </c>
      <c r="N253" s="234" t="s">
        <v>403</v>
      </c>
      <c r="O253" s="281">
        <v>44211</v>
      </c>
      <c r="P253" s="275" t="s">
        <v>63</v>
      </c>
      <c r="Q253" s="263" t="s">
        <v>454</v>
      </c>
      <c r="R253" s="233"/>
      <c r="S253" s="282"/>
      <c r="T253" s="265"/>
      <c r="U253" s="265"/>
      <c r="V253" s="266" t="s">
        <v>36</v>
      </c>
      <c r="X253" s="240"/>
      <c r="Y253" s="268"/>
      <c r="Z253" s="240"/>
      <c r="AA253" s="241"/>
    </row>
    <row r="254" spans="1:27" s="267" customFormat="1" ht="20.25" customHeight="1">
      <c r="A254" s="232">
        <v>246</v>
      </c>
      <c r="B254" s="275" t="s">
        <v>8</v>
      </c>
      <c r="C254" s="275">
        <v>4</v>
      </c>
      <c r="D254" s="276" t="s">
        <v>31</v>
      </c>
      <c r="E254" s="275" t="s">
        <v>26</v>
      </c>
      <c r="F254" s="275">
        <v>94</v>
      </c>
      <c r="G254" s="234" t="s">
        <v>72</v>
      </c>
      <c r="H254" s="277">
        <v>4</v>
      </c>
      <c r="I254" s="263">
        <v>13</v>
      </c>
      <c r="J254" s="263"/>
      <c r="K254" s="277">
        <v>4</v>
      </c>
      <c r="L254" s="263"/>
      <c r="M254" s="280" t="s">
        <v>115</v>
      </c>
      <c r="N254" s="234" t="s">
        <v>403</v>
      </c>
      <c r="O254" s="281">
        <v>44211</v>
      </c>
      <c r="P254" s="275" t="s">
        <v>63</v>
      </c>
      <c r="Q254" s="263" t="s">
        <v>454</v>
      </c>
      <c r="R254" s="233"/>
      <c r="S254" s="282"/>
      <c r="T254" s="265"/>
      <c r="U254" s="265"/>
      <c r="V254" s="266" t="s">
        <v>16</v>
      </c>
      <c r="X254" s="240"/>
      <c r="Y254" s="268"/>
      <c r="Z254" s="240"/>
      <c r="AA254" s="241"/>
    </row>
    <row r="255" spans="1:27" s="267" customFormat="1" ht="20.25" customHeight="1">
      <c r="A255" s="232">
        <v>247</v>
      </c>
      <c r="B255" s="275" t="s">
        <v>8</v>
      </c>
      <c r="C255" s="275">
        <v>4</v>
      </c>
      <c r="D255" s="276" t="s">
        <v>31</v>
      </c>
      <c r="E255" s="275" t="s">
        <v>26</v>
      </c>
      <c r="F255" s="275">
        <v>98</v>
      </c>
      <c r="G255" s="234" t="s">
        <v>72</v>
      </c>
      <c r="H255" s="277">
        <v>0.6</v>
      </c>
      <c r="I255" s="263">
        <v>5</v>
      </c>
      <c r="J255" s="263"/>
      <c r="K255" s="277">
        <v>0.6</v>
      </c>
      <c r="L255" s="263"/>
      <c r="M255" s="280" t="s">
        <v>115</v>
      </c>
      <c r="N255" s="234" t="s">
        <v>403</v>
      </c>
      <c r="O255" s="281">
        <v>44211</v>
      </c>
      <c r="P255" s="275" t="s">
        <v>63</v>
      </c>
      <c r="Q255" s="263" t="s">
        <v>454</v>
      </c>
      <c r="R255" s="233"/>
      <c r="S255" s="282"/>
      <c r="T255" s="265"/>
      <c r="U255" s="265"/>
      <c r="V255" s="266" t="s">
        <v>16</v>
      </c>
      <c r="X255" s="240"/>
      <c r="Y255" s="268"/>
      <c r="Z255" s="240"/>
      <c r="AA255" s="241"/>
    </row>
    <row r="256" spans="1:27" s="267" customFormat="1" ht="20.25" customHeight="1">
      <c r="A256" s="232">
        <v>248</v>
      </c>
      <c r="B256" s="275" t="s">
        <v>8</v>
      </c>
      <c r="C256" s="275">
        <v>4</v>
      </c>
      <c r="D256" s="276" t="s">
        <v>23</v>
      </c>
      <c r="E256" s="275" t="s">
        <v>26</v>
      </c>
      <c r="F256" s="275">
        <v>57</v>
      </c>
      <c r="G256" s="234" t="s">
        <v>72</v>
      </c>
      <c r="H256" s="277">
        <v>5</v>
      </c>
      <c r="I256" s="263">
        <v>145</v>
      </c>
      <c r="J256" s="263">
        <v>3</v>
      </c>
      <c r="K256" s="277">
        <v>5</v>
      </c>
      <c r="L256" s="263"/>
      <c r="M256" s="280" t="s">
        <v>115</v>
      </c>
      <c r="N256" s="234" t="s">
        <v>404</v>
      </c>
      <c r="O256" s="281">
        <v>44211</v>
      </c>
      <c r="P256" s="275" t="s">
        <v>63</v>
      </c>
      <c r="Q256" s="263" t="s">
        <v>454</v>
      </c>
      <c r="R256" s="233"/>
      <c r="S256" s="282"/>
      <c r="T256" s="265"/>
      <c r="U256" s="265"/>
      <c r="V256" s="266" t="s">
        <v>36</v>
      </c>
      <c r="X256" s="240"/>
      <c r="Y256" s="268"/>
      <c r="Z256" s="240"/>
      <c r="AA256" s="241"/>
    </row>
    <row r="257" spans="1:27" s="267" customFormat="1" ht="20.25" customHeight="1">
      <c r="A257" s="232">
        <v>249</v>
      </c>
      <c r="B257" s="275" t="s">
        <v>8</v>
      </c>
      <c r="C257" s="275">
        <v>4</v>
      </c>
      <c r="D257" s="276" t="s">
        <v>23</v>
      </c>
      <c r="E257" s="275" t="s">
        <v>26</v>
      </c>
      <c r="F257" s="275">
        <v>110</v>
      </c>
      <c r="G257" s="234" t="s">
        <v>72</v>
      </c>
      <c r="H257" s="277">
        <v>0.6</v>
      </c>
      <c r="I257" s="263">
        <v>7</v>
      </c>
      <c r="J257" s="263">
        <v>4</v>
      </c>
      <c r="K257" s="277">
        <v>0.6</v>
      </c>
      <c r="L257" s="263"/>
      <c r="M257" s="280" t="s">
        <v>115</v>
      </c>
      <c r="N257" s="234" t="s">
        <v>405</v>
      </c>
      <c r="O257" s="281">
        <v>44201</v>
      </c>
      <c r="P257" s="275" t="s">
        <v>63</v>
      </c>
      <c r="Q257" s="263" t="s">
        <v>454</v>
      </c>
      <c r="R257" s="233"/>
      <c r="S257" s="282"/>
      <c r="T257" s="265"/>
      <c r="U257" s="265"/>
      <c r="V257" s="266" t="s">
        <v>36</v>
      </c>
      <c r="X257" s="240"/>
      <c r="Y257" s="268"/>
      <c r="Z257" s="240"/>
      <c r="AA257" s="241"/>
    </row>
    <row r="258" spans="1:27" s="267" customFormat="1" ht="20.25" customHeight="1">
      <c r="A258" s="232">
        <v>250</v>
      </c>
      <c r="B258" s="275" t="s">
        <v>8</v>
      </c>
      <c r="C258" s="275">
        <v>3</v>
      </c>
      <c r="D258" s="276" t="s">
        <v>24</v>
      </c>
      <c r="E258" s="275" t="s">
        <v>26</v>
      </c>
      <c r="F258" s="275">
        <v>52</v>
      </c>
      <c r="G258" s="234" t="s">
        <v>82</v>
      </c>
      <c r="H258" s="277">
        <v>2.4</v>
      </c>
      <c r="I258" s="263">
        <v>81</v>
      </c>
      <c r="J258" s="263">
        <v>79</v>
      </c>
      <c r="K258" s="277">
        <v>2.4</v>
      </c>
      <c r="L258" s="263"/>
      <c r="M258" s="280" t="s">
        <v>115</v>
      </c>
      <c r="N258" s="234" t="s">
        <v>405</v>
      </c>
      <c r="O258" s="281">
        <v>44201</v>
      </c>
      <c r="P258" s="275" t="s">
        <v>63</v>
      </c>
      <c r="Q258" s="263" t="s">
        <v>454</v>
      </c>
      <c r="R258" s="233"/>
      <c r="S258" s="282"/>
      <c r="T258" s="265"/>
      <c r="U258" s="265"/>
      <c r="V258" s="266" t="s">
        <v>36</v>
      </c>
      <c r="X258" s="240"/>
      <c r="Y258" s="268"/>
      <c r="Z258" s="240"/>
      <c r="AA258" s="241"/>
    </row>
    <row r="259" spans="1:27" s="267" customFormat="1" ht="20.25" customHeight="1">
      <c r="A259" s="232">
        <v>251</v>
      </c>
      <c r="B259" s="275" t="s">
        <v>8</v>
      </c>
      <c r="C259" s="275">
        <v>4</v>
      </c>
      <c r="D259" s="276" t="s">
        <v>24</v>
      </c>
      <c r="E259" s="275" t="s">
        <v>26</v>
      </c>
      <c r="F259" s="275">
        <v>68</v>
      </c>
      <c r="G259" s="234" t="s">
        <v>67</v>
      </c>
      <c r="H259" s="277">
        <v>12.1</v>
      </c>
      <c r="I259" s="263">
        <v>257</v>
      </c>
      <c r="J259" s="263">
        <v>247</v>
      </c>
      <c r="K259" s="277">
        <v>12.1</v>
      </c>
      <c r="L259" s="263"/>
      <c r="M259" s="280" t="s">
        <v>115</v>
      </c>
      <c r="N259" s="234" t="s">
        <v>405</v>
      </c>
      <c r="O259" s="281">
        <v>44201</v>
      </c>
      <c r="P259" s="275" t="s">
        <v>63</v>
      </c>
      <c r="Q259" s="263" t="s">
        <v>454</v>
      </c>
      <c r="R259" s="233"/>
      <c r="S259" s="282"/>
      <c r="T259" s="265"/>
      <c r="U259" s="265"/>
      <c r="V259" s="266"/>
      <c r="X259" s="240"/>
      <c r="Y259" s="268"/>
      <c r="Z259" s="240"/>
      <c r="AA259" s="241"/>
    </row>
    <row r="260" spans="1:27" s="267" customFormat="1" ht="20.25" customHeight="1">
      <c r="A260" s="232">
        <v>252</v>
      </c>
      <c r="B260" s="275" t="s">
        <v>8</v>
      </c>
      <c r="C260" s="275">
        <v>4</v>
      </c>
      <c r="D260" s="276" t="s">
        <v>24</v>
      </c>
      <c r="E260" s="275" t="s">
        <v>26</v>
      </c>
      <c r="F260" s="275">
        <v>79</v>
      </c>
      <c r="G260" s="234" t="s">
        <v>80</v>
      </c>
      <c r="H260" s="277">
        <v>5</v>
      </c>
      <c r="I260" s="263">
        <v>149</v>
      </c>
      <c r="J260" s="263">
        <v>148</v>
      </c>
      <c r="K260" s="277">
        <v>5</v>
      </c>
      <c r="L260" s="263"/>
      <c r="M260" s="280" t="s">
        <v>115</v>
      </c>
      <c r="N260" s="234" t="s">
        <v>405</v>
      </c>
      <c r="O260" s="281">
        <v>44201</v>
      </c>
      <c r="P260" s="275" t="s">
        <v>63</v>
      </c>
      <c r="Q260" s="263" t="s">
        <v>454</v>
      </c>
      <c r="R260" s="233"/>
      <c r="S260" s="282"/>
      <c r="T260" s="265"/>
      <c r="U260" s="265"/>
      <c r="V260" s="266" t="s">
        <v>36</v>
      </c>
      <c r="X260" s="240"/>
      <c r="Y260" s="268"/>
      <c r="Z260" s="240"/>
      <c r="AA260" s="241"/>
    </row>
    <row r="261" spans="1:27" s="267" customFormat="1" ht="20.25" customHeight="1">
      <c r="A261" s="232">
        <v>253</v>
      </c>
      <c r="B261" s="275" t="s">
        <v>8</v>
      </c>
      <c r="C261" s="275">
        <v>4</v>
      </c>
      <c r="D261" s="276" t="s">
        <v>24</v>
      </c>
      <c r="E261" s="275" t="s">
        <v>26</v>
      </c>
      <c r="F261" s="275">
        <v>82</v>
      </c>
      <c r="G261" s="234" t="s">
        <v>69</v>
      </c>
      <c r="H261" s="277">
        <v>4.4000000000000004</v>
      </c>
      <c r="I261" s="263">
        <v>141</v>
      </c>
      <c r="J261" s="263">
        <v>139</v>
      </c>
      <c r="K261" s="277">
        <v>4.4000000000000004</v>
      </c>
      <c r="L261" s="286"/>
      <c r="M261" s="280" t="s">
        <v>115</v>
      </c>
      <c r="N261" s="234" t="s">
        <v>405</v>
      </c>
      <c r="O261" s="281">
        <v>44201</v>
      </c>
      <c r="P261" s="275" t="s">
        <v>63</v>
      </c>
      <c r="Q261" s="263" t="s">
        <v>454</v>
      </c>
      <c r="R261" s="233"/>
      <c r="S261" s="282"/>
      <c r="T261" s="265"/>
      <c r="U261" s="265"/>
      <c r="V261" s="266"/>
      <c r="X261" s="240"/>
      <c r="Y261" s="268"/>
      <c r="Z261" s="240"/>
      <c r="AA261" s="241"/>
    </row>
    <row r="262" spans="1:27" s="267" customFormat="1" ht="20.25" customHeight="1">
      <c r="A262" s="232">
        <v>254</v>
      </c>
      <c r="B262" s="275" t="s">
        <v>8</v>
      </c>
      <c r="C262" s="275">
        <v>4</v>
      </c>
      <c r="D262" s="276" t="s">
        <v>24</v>
      </c>
      <c r="E262" s="275" t="s">
        <v>26</v>
      </c>
      <c r="F262" s="275">
        <v>94</v>
      </c>
      <c r="G262" s="234" t="s">
        <v>67</v>
      </c>
      <c r="H262" s="277">
        <v>6</v>
      </c>
      <c r="I262" s="263">
        <v>111</v>
      </c>
      <c r="J262" s="263">
        <v>111</v>
      </c>
      <c r="K262" s="277">
        <v>6</v>
      </c>
      <c r="L262" s="286"/>
      <c r="M262" s="280" t="s">
        <v>115</v>
      </c>
      <c r="N262" s="234" t="s">
        <v>405</v>
      </c>
      <c r="O262" s="281">
        <v>44201</v>
      </c>
      <c r="P262" s="275" t="s">
        <v>63</v>
      </c>
      <c r="Q262" s="263" t="s">
        <v>454</v>
      </c>
      <c r="R262" s="233"/>
      <c r="S262" s="282"/>
      <c r="T262" s="265"/>
      <c r="U262" s="265"/>
      <c r="V262" s="266"/>
      <c r="X262" s="240"/>
      <c r="Y262" s="268"/>
      <c r="Z262" s="240"/>
      <c r="AA262" s="241"/>
    </row>
    <row r="263" spans="1:27" s="267" customFormat="1" ht="20.25" customHeight="1">
      <c r="A263" s="232">
        <v>255</v>
      </c>
      <c r="B263" s="275" t="s">
        <v>8</v>
      </c>
      <c r="C263" s="275">
        <v>4</v>
      </c>
      <c r="D263" s="276" t="s">
        <v>24</v>
      </c>
      <c r="E263" s="275" t="s">
        <v>26</v>
      </c>
      <c r="F263" s="275">
        <v>73</v>
      </c>
      <c r="G263" s="234" t="s">
        <v>67</v>
      </c>
      <c r="H263" s="277">
        <v>4.7</v>
      </c>
      <c r="I263" s="263">
        <v>106</v>
      </c>
      <c r="J263" s="263">
        <v>102</v>
      </c>
      <c r="K263" s="277">
        <v>4.7</v>
      </c>
      <c r="L263" s="286"/>
      <c r="M263" s="280" t="s">
        <v>115</v>
      </c>
      <c r="N263" s="234" t="s">
        <v>406</v>
      </c>
      <c r="O263" s="281">
        <v>44211</v>
      </c>
      <c r="P263" s="275" t="s">
        <v>63</v>
      </c>
      <c r="Q263" s="263" t="s">
        <v>454</v>
      </c>
      <c r="R263" s="233"/>
      <c r="S263" s="282"/>
      <c r="T263" s="265"/>
      <c r="U263" s="265"/>
      <c r="V263" s="266"/>
      <c r="X263" s="240"/>
      <c r="Y263" s="268"/>
      <c r="Z263" s="240"/>
      <c r="AA263" s="241"/>
    </row>
    <row r="264" spans="1:27" s="267" customFormat="1" ht="20.25" customHeight="1">
      <c r="A264" s="232">
        <v>256</v>
      </c>
      <c r="B264" s="275" t="s">
        <v>8</v>
      </c>
      <c r="C264" s="275">
        <v>2</v>
      </c>
      <c r="D264" s="276" t="s">
        <v>22</v>
      </c>
      <c r="E264" s="275" t="s">
        <v>26</v>
      </c>
      <c r="F264" s="275">
        <v>55</v>
      </c>
      <c r="G264" s="234" t="s">
        <v>71</v>
      </c>
      <c r="H264" s="277">
        <v>8</v>
      </c>
      <c r="I264" s="263">
        <v>344</v>
      </c>
      <c r="J264" s="263">
        <v>283</v>
      </c>
      <c r="K264" s="277">
        <v>8</v>
      </c>
      <c r="L264" s="277"/>
      <c r="M264" s="280" t="s">
        <v>115</v>
      </c>
      <c r="N264" s="234" t="s">
        <v>407</v>
      </c>
      <c r="O264" s="281">
        <v>44201</v>
      </c>
      <c r="P264" s="275" t="s">
        <v>63</v>
      </c>
      <c r="Q264" s="263" t="s">
        <v>454</v>
      </c>
      <c r="R264" s="233"/>
      <c r="S264" s="282"/>
      <c r="T264" s="265"/>
      <c r="U264" s="265"/>
      <c r="V264" s="266" t="s">
        <v>16</v>
      </c>
      <c r="X264" s="240"/>
      <c r="Y264" s="268"/>
      <c r="Z264" s="240"/>
      <c r="AA264" s="241"/>
    </row>
    <row r="265" spans="1:27" s="267" customFormat="1" ht="20.25" customHeight="1">
      <c r="A265" s="232">
        <v>257</v>
      </c>
      <c r="B265" s="275" t="s">
        <v>8</v>
      </c>
      <c r="C265" s="275">
        <v>4</v>
      </c>
      <c r="D265" s="276" t="s">
        <v>22</v>
      </c>
      <c r="E265" s="275" t="s">
        <v>26</v>
      </c>
      <c r="F265" s="275">
        <v>74</v>
      </c>
      <c r="G265" s="234" t="s">
        <v>69</v>
      </c>
      <c r="H265" s="277">
        <v>5.8</v>
      </c>
      <c r="I265" s="263">
        <v>268</v>
      </c>
      <c r="J265" s="263">
        <v>237</v>
      </c>
      <c r="K265" s="277">
        <v>5.8</v>
      </c>
      <c r="L265" s="277"/>
      <c r="M265" s="280" t="s">
        <v>115</v>
      </c>
      <c r="N265" s="234" t="s">
        <v>407</v>
      </c>
      <c r="O265" s="281">
        <v>44201</v>
      </c>
      <c r="P265" s="275" t="s">
        <v>63</v>
      </c>
      <c r="Q265" s="263" t="s">
        <v>454</v>
      </c>
      <c r="R265" s="233"/>
      <c r="S265" s="282"/>
      <c r="T265" s="265"/>
      <c r="U265" s="265"/>
      <c r="V265" s="266" t="s">
        <v>16</v>
      </c>
      <c r="X265" s="240"/>
      <c r="Y265" s="268"/>
      <c r="Z265" s="240"/>
      <c r="AA265" s="241"/>
    </row>
    <row r="266" spans="1:27" s="267" customFormat="1" ht="20.25" customHeight="1">
      <c r="A266" s="232">
        <v>258</v>
      </c>
      <c r="B266" s="275" t="s">
        <v>8</v>
      </c>
      <c r="C266" s="275">
        <v>4</v>
      </c>
      <c r="D266" s="276" t="s">
        <v>22</v>
      </c>
      <c r="E266" s="275" t="s">
        <v>26</v>
      </c>
      <c r="F266" s="275">
        <v>85</v>
      </c>
      <c r="G266" s="234" t="s">
        <v>69</v>
      </c>
      <c r="H266" s="277">
        <v>6.5</v>
      </c>
      <c r="I266" s="263">
        <v>224</v>
      </c>
      <c r="J266" s="263">
        <v>196</v>
      </c>
      <c r="K266" s="277">
        <v>6.5</v>
      </c>
      <c r="L266" s="277"/>
      <c r="M266" s="280" t="s">
        <v>115</v>
      </c>
      <c r="N266" s="234" t="s">
        <v>407</v>
      </c>
      <c r="O266" s="281">
        <v>44201</v>
      </c>
      <c r="P266" s="275" t="s">
        <v>63</v>
      </c>
      <c r="Q266" s="263" t="s">
        <v>454</v>
      </c>
      <c r="R266" s="233"/>
      <c r="S266" s="282"/>
      <c r="T266" s="265"/>
      <c r="U266" s="265"/>
      <c r="V266" s="266" t="s">
        <v>16</v>
      </c>
      <c r="X266" s="240"/>
      <c r="Y266" s="268"/>
      <c r="Z266" s="240"/>
      <c r="AA266" s="241"/>
    </row>
    <row r="267" spans="1:27" s="267" customFormat="1" ht="20.25" customHeight="1">
      <c r="A267" s="232">
        <v>259</v>
      </c>
      <c r="B267" s="275" t="s">
        <v>8</v>
      </c>
      <c r="C267" s="275">
        <v>4</v>
      </c>
      <c r="D267" s="276" t="s">
        <v>22</v>
      </c>
      <c r="E267" s="275" t="s">
        <v>26</v>
      </c>
      <c r="F267" s="275">
        <v>85</v>
      </c>
      <c r="G267" s="234" t="s">
        <v>67</v>
      </c>
      <c r="H267" s="277">
        <v>7.2</v>
      </c>
      <c r="I267" s="263">
        <v>174</v>
      </c>
      <c r="J267" s="263">
        <v>132</v>
      </c>
      <c r="K267" s="277">
        <v>7.2</v>
      </c>
      <c r="L267" s="277"/>
      <c r="M267" s="280" t="s">
        <v>115</v>
      </c>
      <c r="N267" s="234" t="s">
        <v>407</v>
      </c>
      <c r="O267" s="281">
        <v>44201</v>
      </c>
      <c r="P267" s="275" t="s">
        <v>63</v>
      </c>
      <c r="Q267" s="263" t="s">
        <v>454</v>
      </c>
      <c r="R267" s="233"/>
      <c r="S267" s="282"/>
      <c r="T267" s="265"/>
      <c r="U267" s="265"/>
      <c r="V267" s="266" t="s">
        <v>16</v>
      </c>
      <c r="X267" s="240"/>
      <c r="Y267" s="268"/>
      <c r="Z267" s="240"/>
      <c r="AA267" s="241"/>
    </row>
    <row r="268" spans="1:27" s="267" customFormat="1">
      <c r="A268" s="232">
        <v>260</v>
      </c>
      <c r="B268" s="275" t="s">
        <v>13</v>
      </c>
      <c r="C268" s="275">
        <v>2</v>
      </c>
      <c r="D268" s="276" t="s">
        <v>31</v>
      </c>
      <c r="E268" s="275" t="s">
        <v>26</v>
      </c>
      <c r="F268" s="275">
        <v>1</v>
      </c>
      <c r="G268" s="234" t="s">
        <v>69</v>
      </c>
      <c r="H268" s="277">
        <v>1</v>
      </c>
      <c r="I268" s="263">
        <v>5</v>
      </c>
      <c r="J268" s="263"/>
      <c r="K268" s="277">
        <v>1</v>
      </c>
      <c r="L268" s="263"/>
      <c r="M268" s="280" t="s">
        <v>115</v>
      </c>
      <c r="N268" s="234" t="s">
        <v>409</v>
      </c>
      <c r="O268" s="281">
        <v>44201</v>
      </c>
      <c r="P268" s="275" t="s">
        <v>64</v>
      </c>
      <c r="Q268" s="263" t="s">
        <v>42</v>
      </c>
      <c r="R268" s="233"/>
      <c r="S268" s="282"/>
      <c r="T268" s="265"/>
      <c r="U268" s="265"/>
      <c r="V268" s="266" t="s">
        <v>56</v>
      </c>
      <c r="X268" s="240"/>
      <c r="Y268" s="268"/>
      <c r="Z268" s="240"/>
      <c r="AA268" s="241"/>
    </row>
    <row r="269" spans="1:27" s="267" customFormat="1">
      <c r="A269" s="232">
        <v>261</v>
      </c>
      <c r="B269" s="275" t="s">
        <v>13</v>
      </c>
      <c r="C269" s="275">
        <v>2</v>
      </c>
      <c r="D269" s="276" t="s">
        <v>31</v>
      </c>
      <c r="E269" s="275" t="s">
        <v>28</v>
      </c>
      <c r="F269" s="275">
        <v>13</v>
      </c>
      <c r="G269" s="234" t="s">
        <v>408</v>
      </c>
      <c r="H269" s="277">
        <v>0.5</v>
      </c>
      <c r="I269" s="263">
        <v>2</v>
      </c>
      <c r="J269" s="263"/>
      <c r="K269" s="277">
        <v>0.5</v>
      </c>
      <c r="L269" s="263"/>
      <c r="M269" s="280" t="s">
        <v>115</v>
      </c>
      <c r="N269" s="234" t="s">
        <v>409</v>
      </c>
      <c r="O269" s="281">
        <v>44201</v>
      </c>
      <c r="P269" s="275" t="s">
        <v>64</v>
      </c>
      <c r="Q269" s="263" t="s">
        <v>42</v>
      </c>
      <c r="R269" s="233"/>
      <c r="S269" s="282"/>
      <c r="T269" s="265"/>
      <c r="U269" s="265"/>
      <c r="V269" s="266" t="s">
        <v>56</v>
      </c>
      <c r="X269" s="240"/>
      <c r="Y269" s="268"/>
      <c r="Z269" s="240"/>
      <c r="AA269" s="241"/>
    </row>
    <row r="270" spans="1:27" s="267" customFormat="1">
      <c r="A270" s="232">
        <v>262</v>
      </c>
      <c r="B270" s="275" t="s">
        <v>13</v>
      </c>
      <c r="C270" s="275">
        <v>2</v>
      </c>
      <c r="D270" s="276" t="s">
        <v>23</v>
      </c>
      <c r="E270" s="275" t="s">
        <v>26</v>
      </c>
      <c r="F270" s="275">
        <v>14</v>
      </c>
      <c r="G270" s="234" t="s">
        <v>86</v>
      </c>
      <c r="H270" s="277">
        <v>0.7</v>
      </c>
      <c r="I270" s="263">
        <v>31</v>
      </c>
      <c r="J270" s="263">
        <v>7</v>
      </c>
      <c r="K270" s="277">
        <v>0.7</v>
      </c>
      <c r="L270" s="263"/>
      <c r="M270" s="280" t="s">
        <v>115</v>
      </c>
      <c r="N270" s="234" t="s">
        <v>410</v>
      </c>
      <c r="O270" s="281">
        <v>44201</v>
      </c>
      <c r="P270" s="275" t="s">
        <v>64</v>
      </c>
      <c r="Q270" s="263" t="s">
        <v>42</v>
      </c>
      <c r="R270" s="233"/>
      <c r="S270" s="282"/>
      <c r="T270" s="265"/>
      <c r="U270" s="265"/>
      <c r="V270" s="266" t="s">
        <v>37</v>
      </c>
      <c r="X270" s="240"/>
      <c r="Y270" s="268"/>
      <c r="Z270" s="240"/>
      <c r="AA270" s="241"/>
    </row>
    <row r="271" spans="1:27" s="267" customFormat="1">
      <c r="A271" s="232">
        <v>263</v>
      </c>
      <c r="B271" s="275" t="s">
        <v>13</v>
      </c>
      <c r="C271" s="275">
        <v>2</v>
      </c>
      <c r="D271" s="276" t="s">
        <v>23</v>
      </c>
      <c r="E271" s="275" t="s">
        <v>26</v>
      </c>
      <c r="F271" s="275">
        <v>14</v>
      </c>
      <c r="G271" s="234" t="s">
        <v>95</v>
      </c>
      <c r="H271" s="277">
        <v>1</v>
      </c>
      <c r="I271" s="263">
        <v>25</v>
      </c>
      <c r="J271" s="263">
        <v>21</v>
      </c>
      <c r="K271" s="277">
        <v>1</v>
      </c>
      <c r="L271" s="263"/>
      <c r="M271" s="280" t="s">
        <v>115</v>
      </c>
      <c r="N271" s="234" t="s">
        <v>410</v>
      </c>
      <c r="O271" s="281">
        <v>44201</v>
      </c>
      <c r="P271" s="275" t="s">
        <v>64</v>
      </c>
      <c r="Q271" s="263" t="s">
        <v>42</v>
      </c>
      <c r="R271" s="233"/>
      <c r="S271" s="282"/>
      <c r="T271" s="265"/>
      <c r="U271" s="265"/>
      <c r="V271" s="266" t="s">
        <v>37</v>
      </c>
      <c r="X271" s="240"/>
      <c r="Y271" s="268"/>
      <c r="Z271" s="240"/>
      <c r="AA271" s="241"/>
    </row>
    <row r="272" spans="1:27" s="267" customFormat="1">
      <c r="A272" s="232">
        <v>264</v>
      </c>
      <c r="B272" s="275" t="s">
        <v>13</v>
      </c>
      <c r="C272" s="275">
        <v>2</v>
      </c>
      <c r="D272" s="276" t="s">
        <v>24</v>
      </c>
      <c r="E272" s="275" t="s">
        <v>26</v>
      </c>
      <c r="F272" s="275">
        <v>14</v>
      </c>
      <c r="G272" s="234" t="s">
        <v>90</v>
      </c>
      <c r="H272" s="277">
        <v>1.1000000000000001</v>
      </c>
      <c r="I272" s="263">
        <v>53</v>
      </c>
      <c r="J272" s="263">
        <v>27</v>
      </c>
      <c r="K272" s="277">
        <v>1.1000000000000001</v>
      </c>
      <c r="L272" s="263"/>
      <c r="M272" s="280" t="s">
        <v>115</v>
      </c>
      <c r="N272" s="234" t="s">
        <v>411</v>
      </c>
      <c r="O272" s="281">
        <v>44201</v>
      </c>
      <c r="P272" s="275" t="s">
        <v>64</v>
      </c>
      <c r="Q272" s="263" t="s">
        <v>42</v>
      </c>
      <c r="R272" s="233"/>
      <c r="S272" s="282"/>
      <c r="T272" s="265"/>
      <c r="U272" s="265"/>
      <c r="V272" s="266" t="s">
        <v>37</v>
      </c>
      <c r="X272" s="240"/>
      <c r="Y272" s="268"/>
      <c r="Z272" s="240"/>
      <c r="AA272" s="241"/>
    </row>
    <row r="273" spans="1:27" s="267" customFormat="1">
      <c r="A273" s="232">
        <v>265</v>
      </c>
      <c r="B273" s="275" t="s">
        <v>13</v>
      </c>
      <c r="C273" s="275">
        <v>2</v>
      </c>
      <c r="D273" s="276" t="s">
        <v>32</v>
      </c>
      <c r="E273" s="275" t="s">
        <v>26</v>
      </c>
      <c r="F273" s="283">
        <v>1</v>
      </c>
      <c r="G273" s="283">
        <v>11</v>
      </c>
      <c r="H273" s="285">
        <v>0.5</v>
      </c>
      <c r="I273" s="285">
        <v>16</v>
      </c>
      <c r="J273" s="233">
        <v>15</v>
      </c>
      <c r="K273" s="285">
        <v>0.5</v>
      </c>
      <c r="L273" s="263"/>
      <c r="M273" s="280" t="s">
        <v>115</v>
      </c>
      <c r="N273" s="234" t="s">
        <v>395</v>
      </c>
      <c r="O273" s="281">
        <v>44217</v>
      </c>
      <c r="P273" s="275" t="s">
        <v>64</v>
      </c>
      <c r="Q273" s="263" t="s">
        <v>42</v>
      </c>
      <c r="R273" s="233"/>
      <c r="S273" s="282"/>
      <c r="T273" s="265"/>
      <c r="U273" s="265"/>
      <c r="V273" s="266" t="s">
        <v>37</v>
      </c>
      <c r="X273" s="240"/>
      <c r="Y273" s="268"/>
      <c r="Z273" s="240"/>
      <c r="AA273" s="241"/>
    </row>
    <row r="274" spans="1:27" s="267" customFormat="1">
      <c r="A274" s="232">
        <v>266</v>
      </c>
      <c r="B274" s="275" t="s">
        <v>13</v>
      </c>
      <c r="C274" s="275">
        <v>2</v>
      </c>
      <c r="D274" s="276" t="s">
        <v>32</v>
      </c>
      <c r="E274" s="275" t="s">
        <v>26</v>
      </c>
      <c r="F274" s="283">
        <v>2</v>
      </c>
      <c r="G274" s="283">
        <v>2</v>
      </c>
      <c r="H274" s="285">
        <v>23.6</v>
      </c>
      <c r="I274" s="285">
        <v>320</v>
      </c>
      <c r="J274" s="233">
        <v>257</v>
      </c>
      <c r="K274" s="285">
        <v>23.6</v>
      </c>
      <c r="L274" s="263"/>
      <c r="M274" s="280" t="s">
        <v>115</v>
      </c>
      <c r="N274" s="234" t="s">
        <v>395</v>
      </c>
      <c r="O274" s="281">
        <v>44217</v>
      </c>
      <c r="P274" s="275" t="s">
        <v>64</v>
      </c>
      <c r="Q274" s="263" t="s">
        <v>42</v>
      </c>
      <c r="R274" s="233"/>
      <c r="S274" s="282"/>
      <c r="T274" s="265"/>
      <c r="U274" s="265"/>
      <c r="V274" s="266" t="s">
        <v>56</v>
      </c>
      <c r="X274" s="240"/>
      <c r="Y274" s="268"/>
      <c r="Z274" s="240"/>
      <c r="AA274" s="241"/>
    </row>
    <row r="275" spans="1:27" s="267" customFormat="1">
      <c r="A275" s="232">
        <v>267</v>
      </c>
      <c r="B275" s="275" t="s">
        <v>13</v>
      </c>
      <c r="C275" s="275">
        <v>2</v>
      </c>
      <c r="D275" s="276" t="s">
        <v>32</v>
      </c>
      <c r="E275" s="275" t="s">
        <v>26</v>
      </c>
      <c r="F275" s="283">
        <v>2</v>
      </c>
      <c r="G275" s="283" t="s">
        <v>86</v>
      </c>
      <c r="H275" s="285">
        <v>0.3</v>
      </c>
      <c r="I275" s="285">
        <v>25</v>
      </c>
      <c r="J275" s="233">
        <v>23</v>
      </c>
      <c r="K275" s="285">
        <v>0.3</v>
      </c>
      <c r="L275" s="263"/>
      <c r="M275" s="280" t="s">
        <v>115</v>
      </c>
      <c r="N275" s="234" t="s">
        <v>395</v>
      </c>
      <c r="O275" s="281">
        <v>44217</v>
      </c>
      <c r="P275" s="275" t="s">
        <v>64</v>
      </c>
      <c r="Q275" s="263" t="s">
        <v>42</v>
      </c>
      <c r="R275" s="233"/>
      <c r="S275" s="282"/>
      <c r="T275" s="265"/>
      <c r="U275" s="265"/>
      <c r="V275" s="266" t="s">
        <v>56</v>
      </c>
      <c r="X275" s="240"/>
      <c r="Y275" s="268"/>
      <c r="Z275" s="240"/>
      <c r="AA275" s="241"/>
    </row>
    <row r="276" spans="1:27" s="267" customFormat="1">
      <c r="A276" s="232">
        <v>268</v>
      </c>
      <c r="B276" s="275" t="s">
        <v>13</v>
      </c>
      <c r="C276" s="275">
        <v>2</v>
      </c>
      <c r="D276" s="276" t="s">
        <v>32</v>
      </c>
      <c r="E276" s="275" t="s">
        <v>28</v>
      </c>
      <c r="F276" s="283">
        <v>4</v>
      </c>
      <c r="G276" s="283" t="s">
        <v>79</v>
      </c>
      <c r="H276" s="284">
        <v>8</v>
      </c>
      <c r="I276" s="285">
        <v>136</v>
      </c>
      <c r="J276" s="233">
        <v>115</v>
      </c>
      <c r="K276" s="284">
        <v>8</v>
      </c>
      <c r="L276" s="263"/>
      <c r="M276" s="280" t="s">
        <v>115</v>
      </c>
      <c r="N276" s="234" t="s">
        <v>395</v>
      </c>
      <c r="O276" s="281">
        <v>44217</v>
      </c>
      <c r="P276" s="275" t="s">
        <v>64</v>
      </c>
      <c r="Q276" s="263" t="s">
        <v>42</v>
      </c>
      <c r="R276" s="233"/>
      <c r="S276" s="282"/>
      <c r="T276" s="265"/>
      <c r="U276" s="265"/>
      <c r="V276" s="266" t="s">
        <v>56</v>
      </c>
      <c r="X276" s="240"/>
      <c r="Y276" s="268"/>
      <c r="Z276" s="240"/>
      <c r="AA276" s="241"/>
    </row>
    <row r="277" spans="1:27" s="267" customFormat="1">
      <c r="A277" s="232">
        <v>269</v>
      </c>
      <c r="B277" s="275" t="s">
        <v>13</v>
      </c>
      <c r="C277" s="275">
        <v>2</v>
      </c>
      <c r="D277" s="276" t="s">
        <v>32</v>
      </c>
      <c r="E277" s="275" t="s">
        <v>28</v>
      </c>
      <c r="F277" s="283">
        <v>9</v>
      </c>
      <c r="G277" s="283" t="s">
        <v>67</v>
      </c>
      <c r="H277" s="284">
        <v>18</v>
      </c>
      <c r="I277" s="285">
        <v>332</v>
      </c>
      <c r="J277" s="233">
        <v>282</v>
      </c>
      <c r="K277" s="284">
        <v>18</v>
      </c>
      <c r="L277" s="263"/>
      <c r="M277" s="280" t="s">
        <v>115</v>
      </c>
      <c r="N277" s="234" t="s">
        <v>395</v>
      </c>
      <c r="O277" s="281">
        <v>44217</v>
      </c>
      <c r="P277" s="275" t="s">
        <v>64</v>
      </c>
      <c r="Q277" s="263" t="s">
        <v>42</v>
      </c>
      <c r="R277" s="233"/>
      <c r="S277" s="282"/>
      <c r="T277" s="265"/>
      <c r="U277" s="265"/>
      <c r="V277" s="266" t="s">
        <v>56</v>
      </c>
      <c r="X277" s="240"/>
      <c r="Y277" s="268"/>
      <c r="Z277" s="240"/>
      <c r="AA277" s="241"/>
    </row>
    <row r="278" spans="1:27" s="267" customFormat="1">
      <c r="A278" s="232">
        <v>270</v>
      </c>
      <c r="B278" s="275" t="s">
        <v>13</v>
      </c>
      <c r="C278" s="275">
        <v>2</v>
      </c>
      <c r="D278" s="276" t="s">
        <v>32</v>
      </c>
      <c r="E278" s="275" t="s">
        <v>28</v>
      </c>
      <c r="F278" s="283">
        <v>9</v>
      </c>
      <c r="G278" s="283" t="s">
        <v>74</v>
      </c>
      <c r="H278" s="285">
        <v>1.2</v>
      </c>
      <c r="I278" s="285">
        <v>67</v>
      </c>
      <c r="J278" s="233">
        <v>54</v>
      </c>
      <c r="K278" s="285">
        <v>1.2</v>
      </c>
      <c r="L278" s="263"/>
      <c r="M278" s="280" t="s">
        <v>115</v>
      </c>
      <c r="N278" s="234" t="s">
        <v>395</v>
      </c>
      <c r="O278" s="281">
        <v>44217</v>
      </c>
      <c r="P278" s="275" t="s">
        <v>64</v>
      </c>
      <c r="Q278" s="263" t="s">
        <v>42</v>
      </c>
      <c r="R278" s="233"/>
      <c r="S278" s="282"/>
      <c r="T278" s="265"/>
      <c r="U278" s="265"/>
      <c r="V278" s="266" t="s">
        <v>37</v>
      </c>
      <c r="X278" s="240"/>
      <c r="Y278" s="268"/>
      <c r="Z278" s="240"/>
      <c r="AA278" s="241"/>
    </row>
    <row r="279" spans="1:27" s="267" customFormat="1">
      <c r="A279" s="232">
        <v>271</v>
      </c>
      <c r="B279" s="275" t="s">
        <v>13</v>
      </c>
      <c r="C279" s="275">
        <v>2</v>
      </c>
      <c r="D279" s="276" t="s">
        <v>32</v>
      </c>
      <c r="E279" s="275" t="s">
        <v>28</v>
      </c>
      <c r="F279" s="283">
        <v>9</v>
      </c>
      <c r="G279" s="283" t="s">
        <v>79</v>
      </c>
      <c r="H279" s="284">
        <v>1.2</v>
      </c>
      <c r="I279" s="285">
        <v>20</v>
      </c>
      <c r="J279" s="233">
        <v>18</v>
      </c>
      <c r="K279" s="284">
        <v>1.2</v>
      </c>
      <c r="L279" s="263"/>
      <c r="M279" s="280" t="s">
        <v>115</v>
      </c>
      <c r="N279" s="234" t="s">
        <v>395</v>
      </c>
      <c r="O279" s="281">
        <v>44217</v>
      </c>
      <c r="P279" s="275" t="s">
        <v>64</v>
      </c>
      <c r="Q279" s="263" t="s">
        <v>42</v>
      </c>
      <c r="R279" s="233"/>
      <c r="S279" s="282"/>
      <c r="T279" s="265"/>
      <c r="U279" s="265"/>
      <c r="V279" s="266" t="s">
        <v>37</v>
      </c>
      <c r="X279" s="240"/>
      <c r="Y279" s="268"/>
      <c r="Z279" s="240"/>
      <c r="AA279" s="241"/>
    </row>
    <row r="280" spans="1:27" s="267" customFormat="1">
      <c r="A280" s="232">
        <v>272</v>
      </c>
      <c r="B280" s="275" t="s">
        <v>13</v>
      </c>
      <c r="C280" s="275">
        <v>2</v>
      </c>
      <c r="D280" s="276" t="s">
        <v>32</v>
      </c>
      <c r="E280" s="275" t="s">
        <v>28</v>
      </c>
      <c r="F280" s="283">
        <v>10</v>
      </c>
      <c r="G280" s="283" t="s">
        <v>88</v>
      </c>
      <c r="H280" s="284">
        <v>11</v>
      </c>
      <c r="I280" s="285">
        <v>105</v>
      </c>
      <c r="J280" s="233">
        <v>79</v>
      </c>
      <c r="K280" s="284">
        <v>11</v>
      </c>
      <c r="L280" s="263"/>
      <c r="M280" s="280" t="s">
        <v>115</v>
      </c>
      <c r="N280" s="234" t="s">
        <v>395</v>
      </c>
      <c r="O280" s="281">
        <v>44217</v>
      </c>
      <c r="P280" s="275" t="s">
        <v>64</v>
      </c>
      <c r="Q280" s="263" t="s">
        <v>42</v>
      </c>
      <c r="R280" s="233"/>
      <c r="S280" s="282"/>
      <c r="T280" s="265"/>
      <c r="U280" s="265"/>
      <c r="V280" s="266" t="s">
        <v>37</v>
      </c>
      <c r="X280" s="240"/>
      <c r="Y280" s="268"/>
      <c r="Z280" s="240"/>
      <c r="AA280" s="241"/>
    </row>
    <row r="281" spans="1:27" s="267" customFormat="1">
      <c r="A281" s="232">
        <v>273</v>
      </c>
      <c r="B281" s="275" t="s">
        <v>13</v>
      </c>
      <c r="C281" s="275">
        <v>2</v>
      </c>
      <c r="D281" s="276" t="s">
        <v>32</v>
      </c>
      <c r="E281" s="275" t="s">
        <v>28</v>
      </c>
      <c r="F281" s="283">
        <v>12</v>
      </c>
      <c r="G281" s="283" t="s">
        <v>69</v>
      </c>
      <c r="H281" s="284">
        <v>13</v>
      </c>
      <c r="I281" s="285">
        <v>206</v>
      </c>
      <c r="J281" s="233">
        <v>187</v>
      </c>
      <c r="K281" s="284">
        <v>13</v>
      </c>
      <c r="L281" s="263"/>
      <c r="M281" s="280" t="s">
        <v>115</v>
      </c>
      <c r="N281" s="234" t="s">
        <v>395</v>
      </c>
      <c r="O281" s="281">
        <v>44217</v>
      </c>
      <c r="P281" s="275" t="s">
        <v>64</v>
      </c>
      <c r="Q281" s="263" t="s">
        <v>42</v>
      </c>
      <c r="R281" s="233"/>
      <c r="S281" s="282"/>
      <c r="T281" s="265"/>
      <c r="U281" s="265"/>
      <c r="V281" s="266"/>
      <c r="X281" s="240"/>
      <c r="Y281" s="268"/>
      <c r="Z281" s="240"/>
      <c r="AA281" s="241"/>
    </row>
    <row r="282" spans="1:27" s="267" customFormat="1">
      <c r="A282" s="232">
        <v>274</v>
      </c>
      <c r="B282" s="275" t="s">
        <v>13</v>
      </c>
      <c r="C282" s="275">
        <v>2</v>
      </c>
      <c r="D282" s="276" t="s">
        <v>32</v>
      </c>
      <c r="E282" s="275" t="s">
        <v>28</v>
      </c>
      <c r="F282" s="283">
        <v>12</v>
      </c>
      <c r="G282" s="283" t="s">
        <v>85</v>
      </c>
      <c r="H282" s="284">
        <v>0.9</v>
      </c>
      <c r="I282" s="285">
        <v>20</v>
      </c>
      <c r="J282" s="233">
        <v>18</v>
      </c>
      <c r="K282" s="284">
        <v>0.9</v>
      </c>
      <c r="L282" s="263"/>
      <c r="M282" s="280" t="s">
        <v>115</v>
      </c>
      <c r="N282" s="234" t="s">
        <v>395</v>
      </c>
      <c r="O282" s="281">
        <v>44217</v>
      </c>
      <c r="P282" s="275" t="s">
        <v>64</v>
      </c>
      <c r="Q282" s="263" t="s">
        <v>42</v>
      </c>
      <c r="R282" s="233"/>
      <c r="S282" s="282"/>
      <c r="T282" s="265"/>
      <c r="U282" s="265"/>
      <c r="V282" s="266" t="s">
        <v>37</v>
      </c>
      <c r="X282" s="240"/>
      <c r="Y282" s="268"/>
      <c r="Z282" s="240"/>
      <c r="AA282" s="241"/>
    </row>
    <row r="283" spans="1:27" s="267" customFormat="1">
      <c r="A283" s="232">
        <v>275</v>
      </c>
      <c r="B283" s="275" t="s">
        <v>13</v>
      </c>
      <c r="C283" s="275">
        <v>2</v>
      </c>
      <c r="D283" s="276" t="s">
        <v>32</v>
      </c>
      <c r="E283" s="275" t="s">
        <v>26</v>
      </c>
      <c r="F283" s="283">
        <v>12</v>
      </c>
      <c r="G283" s="283" t="s">
        <v>75</v>
      </c>
      <c r="H283" s="284">
        <v>0.6</v>
      </c>
      <c r="I283" s="285">
        <v>19</v>
      </c>
      <c r="J283" s="233">
        <v>16</v>
      </c>
      <c r="K283" s="284">
        <v>0.6</v>
      </c>
      <c r="L283" s="263"/>
      <c r="M283" s="280" t="s">
        <v>115</v>
      </c>
      <c r="N283" s="234" t="s">
        <v>395</v>
      </c>
      <c r="O283" s="281">
        <v>44217</v>
      </c>
      <c r="P283" s="275" t="s">
        <v>64</v>
      </c>
      <c r="Q283" s="263" t="s">
        <v>42</v>
      </c>
      <c r="R283" s="233"/>
      <c r="S283" s="282"/>
      <c r="T283" s="265"/>
      <c r="U283" s="265"/>
      <c r="V283" s="266" t="s">
        <v>56</v>
      </c>
      <c r="X283" s="240"/>
      <c r="Y283" s="268"/>
      <c r="Z283" s="240"/>
      <c r="AA283" s="241"/>
    </row>
    <row r="284" spans="1:27" s="267" customFormat="1">
      <c r="A284" s="232">
        <v>276</v>
      </c>
      <c r="B284" s="275" t="s">
        <v>13</v>
      </c>
      <c r="C284" s="275">
        <v>2</v>
      </c>
      <c r="D284" s="276" t="s">
        <v>32</v>
      </c>
      <c r="E284" s="275" t="s">
        <v>28</v>
      </c>
      <c r="F284" s="283">
        <v>13</v>
      </c>
      <c r="G284" s="283" t="s">
        <v>412</v>
      </c>
      <c r="H284" s="284">
        <v>7.6</v>
      </c>
      <c r="I284" s="285">
        <v>118</v>
      </c>
      <c r="J284" s="233">
        <v>99</v>
      </c>
      <c r="K284" s="284">
        <v>7.6</v>
      </c>
      <c r="L284" s="263"/>
      <c r="M284" s="280" t="s">
        <v>115</v>
      </c>
      <c r="N284" s="234" t="s">
        <v>395</v>
      </c>
      <c r="O284" s="281">
        <v>44217</v>
      </c>
      <c r="P284" s="275" t="s">
        <v>64</v>
      </c>
      <c r="Q284" s="263" t="s">
        <v>42</v>
      </c>
      <c r="R284" s="233"/>
      <c r="S284" s="282"/>
      <c r="T284" s="265"/>
      <c r="U284" s="265"/>
      <c r="V284" s="266"/>
      <c r="X284" s="240"/>
      <c r="Y284" s="268"/>
      <c r="Z284" s="240"/>
      <c r="AA284" s="241"/>
    </row>
    <row r="285" spans="1:27" s="267" customFormat="1">
      <c r="A285" s="232">
        <v>277</v>
      </c>
      <c r="B285" s="275" t="s">
        <v>13</v>
      </c>
      <c r="C285" s="275">
        <v>2</v>
      </c>
      <c r="D285" s="276" t="s">
        <v>32</v>
      </c>
      <c r="E285" s="275" t="s">
        <v>28</v>
      </c>
      <c r="F285" s="283">
        <v>14</v>
      </c>
      <c r="G285" s="283" t="s">
        <v>85</v>
      </c>
      <c r="H285" s="285">
        <v>2.1</v>
      </c>
      <c r="I285" s="285">
        <v>52</v>
      </c>
      <c r="J285" s="233">
        <v>38</v>
      </c>
      <c r="K285" s="285">
        <v>2.1</v>
      </c>
      <c r="L285" s="263"/>
      <c r="M285" s="280" t="s">
        <v>115</v>
      </c>
      <c r="N285" s="234" t="s">
        <v>395</v>
      </c>
      <c r="O285" s="281">
        <v>44217</v>
      </c>
      <c r="P285" s="275" t="s">
        <v>64</v>
      </c>
      <c r="Q285" s="263" t="s">
        <v>42</v>
      </c>
      <c r="R285" s="233"/>
      <c r="S285" s="282"/>
      <c r="T285" s="265"/>
      <c r="U285" s="265"/>
      <c r="V285" s="266"/>
      <c r="X285" s="240"/>
      <c r="Y285" s="268"/>
      <c r="Z285" s="240"/>
      <c r="AA285" s="241"/>
    </row>
    <row r="286" spans="1:27" s="267" customFormat="1">
      <c r="A286" s="232">
        <v>278</v>
      </c>
      <c r="B286" s="275" t="s">
        <v>13</v>
      </c>
      <c r="C286" s="275">
        <v>2</v>
      </c>
      <c r="D286" s="276" t="s">
        <v>32</v>
      </c>
      <c r="E286" s="275" t="s">
        <v>26</v>
      </c>
      <c r="F286" s="283">
        <v>35</v>
      </c>
      <c r="G286" s="283" t="s">
        <v>69</v>
      </c>
      <c r="H286" s="285">
        <v>0.5</v>
      </c>
      <c r="I286" s="285">
        <v>55</v>
      </c>
      <c r="J286" s="233">
        <v>52</v>
      </c>
      <c r="K286" s="285">
        <v>0.5</v>
      </c>
      <c r="L286" s="263"/>
      <c r="M286" s="280" t="s">
        <v>115</v>
      </c>
      <c r="N286" s="234" t="s">
        <v>395</v>
      </c>
      <c r="O286" s="281">
        <v>44217</v>
      </c>
      <c r="P286" s="275" t="s">
        <v>64</v>
      </c>
      <c r="Q286" s="263" t="s">
        <v>60</v>
      </c>
      <c r="R286" s="233"/>
      <c r="S286" s="282"/>
      <c r="T286" s="265"/>
      <c r="U286" s="265"/>
      <c r="V286" s="266"/>
      <c r="X286" s="240"/>
      <c r="Y286" s="268"/>
      <c r="Z286" s="240"/>
      <c r="AA286" s="241"/>
    </row>
    <row r="287" spans="1:27" s="267" customFormat="1">
      <c r="A287" s="232">
        <v>279</v>
      </c>
      <c r="B287" s="275" t="s">
        <v>13</v>
      </c>
      <c r="C287" s="275">
        <v>2</v>
      </c>
      <c r="D287" s="276" t="s">
        <v>32</v>
      </c>
      <c r="E287" s="275" t="s">
        <v>26</v>
      </c>
      <c r="F287" s="283">
        <v>35</v>
      </c>
      <c r="G287" s="283" t="s">
        <v>67</v>
      </c>
      <c r="H287" s="285">
        <v>0.8</v>
      </c>
      <c r="I287" s="285">
        <v>28</v>
      </c>
      <c r="J287" s="233">
        <v>25</v>
      </c>
      <c r="K287" s="285">
        <v>0.8</v>
      </c>
      <c r="L287" s="263"/>
      <c r="M287" s="280" t="s">
        <v>115</v>
      </c>
      <c r="N287" s="234" t="s">
        <v>395</v>
      </c>
      <c r="O287" s="281">
        <v>44217</v>
      </c>
      <c r="P287" s="275" t="s">
        <v>64</v>
      </c>
      <c r="Q287" s="263" t="s">
        <v>60</v>
      </c>
      <c r="R287" s="233"/>
      <c r="S287" s="282"/>
      <c r="T287" s="265"/>
      <c r="U287" s="265"/>
      <c r="V287" s="266"/>
      <c r="X287" s="240"/>
      <c r="Y287" s="268"/>
      <c r="Z287" s="240"/>
      <c r="AA287" s="241"/>
    </row>
    <row r="288" spans="1:27" s="267" customFormat="1">
      <c r="A288" s="232">
        <v>280</v>
      </c>
      <c r="B288" s="275" t="s">
        <v>13</v>
      </c>
      <c r="C288" s="275">
        <v>2</v>
      </c>
      <c r="D288" s="276" t="s">
        <v>32</v>
      </c>
      <c r="E288" s="275" t="s">
        <v>26</v>
      </c>
      <c r="F288" s="283">
        <v>35</v>
      </c>
      <c r="G288" s="283" t="s">
        <v>79</v>
      </c>
      <c r="H288" s="284">
        <v>20</v>
      </c>
      <c r="I288" s="285">
        <v>409</v>
      </c>
      <c r="J288" s="233">
        <f>328+15</f>
        <v>343</v>
      </c>
      <c r="K288" s="284">
        <v>20</v>
      </c>
      <c r="L288" s="263"/>
      <c r="M288" s="280" t="s">
        <v>115</v>
      </c>
      <c r="N288" s="234" t="s">
        <v>395</v>
      </c>
      <c r="O288" s="281">
        <v>44217</v>
      </c>
      <c r="P288" s="275" t="s">
        <v>64</v>
      </c>
      <c r="Q288" s="263" t="s">
        <v>60</v>
      </c>
      <c r="R288" s="233"/>
      <c r="S288" s="282"/>
      <c r="T288" s="265"/>
      <c r="U288" s="265"/>
      <c r="V288" s="266"/>
      <c r="X288" s="240"/>
      <c r="Y288" s="268"/>
      <c r="Z288" s="240"/>
      <c r="AA288" s="241"/>
    </row>
    <row r="289" spans="1:27" s="267" customFormat="1">
      <c r="A289" s="232">
        <v>281</v>
      </c>
      <c r="B289" s="275" t="s">
        <v>13</v>
      </c>
      <c r="C289" s="275">
        <v>2</v>
      </c>
      <c r="D289" s="276" t="s">
        <v>32</v>
      </c>
      <c r="E289" s="275" t="s">
        <v>26</v>
      </c>
      <c r="F289" s="283">
        <v>36</v>
      </c>
      <c r="G289" s="283" t="s">
        <v>88</v>
      </c>
      <c r="H289" s="285">
        <v>1.2</v>
      </c>
      <c r="I289" s="285">
        <v>25</v>
      </c>
      <c r="J289" s="233">
        <v>22</v>
      </c>
      <c r="K289" s="285">
        <v>1.2</v>
      </c>
      <c r="L289" s="263"/>
      <c r="M289" s="280" t="s">
        <v>115</v>
      </c>
      <c r="N289" s="234" t="s">
        <v>395</v>
      </c>
      <c r="O289" s="281">
        <v>44217</v>
      </c>
      <c r="P289" s="275" t="s">
        <v>64</v>
      </c>
      <c r="Q289" s="263" t="s">
        <v>60</v>
      </c>
      <c r="R289" s="233"/>
      <c r="S289" s="282"/>
      <c r="T289" s="265"/>
      <c r="U289" s="265"/>
      <c r="V289" s="266"/>
      <c r="X289" s="240"/>
      <c r="Y289" s="268"/>
      <c r="Z289" s="240"/>
      <c r="AA289" s="241"/>
    </row>
    <row r="290" spans="1:27" s="267" customFormat="1">
      <c r="A290" s="232">
        <v>282</v>
      </c>
      <c r="B290" s="275" t="s">
        <v>13</v>
      </c>
      <c r="C290" s="275">
        <v>2</v>
      </c>
      <c r="D290" s="276" t="s">
        <v>32</v>
      </c>
      <c r="E290" s="275" t="s">
        <v>26</v>
      </c>
      <c r="F290" s="283">
        <v>37</v>
      </c>
      <c r="G290" s="283" t="s">
        <v>68</v>
      </c>
      <c r="H290" s="285">
        <v>1.4</v>
      </c>
      <c r="I290" s="285">
        <v>44</v>
      </c>
      <c r="J290" s="233">
        <v>34</v>
      </c>
      <c r="K290" s="285">
        <v>1.4</v>
      </c>
      <c r="L290" s="263"/>
      <c r="M290" s="280" t="s">
        <v>115</v>
      </c>
      <c r="N290" s="234" t="s">
        <v>395</v>
      </c>
      <c r="O290" s="281">
        <v>44217</v>
      </c>
      <c r="P290" s="275" t="s">
        <v>64</v>
      </c>
      <c r="Q290" s="263" t="s">
        <v>60</v>
      </c>
      <c r="R290" s="233"/>
      <c r="S290" s="282"/>
      <c r="T290" s="265"/>
      <c r="U290" s="265"/>
      <c r="V290" s="266"/>
      <c r="X290" s="240"/>
      <c r="Y290" s="268"/>
      <c r="Z290" s="240"/>
      <c r="AA290" s="241"/>
    </row>
    <row r="291" spans="1:27" s="267" customFormat="1">
      <c r="A291" s="232">
        <v>283</v>
      </c>
      <c r="B291" s="275" t="s">
        <v>13</v>
      </c>
      <c r="C291" s="275">
        <v>2</v>
      </c>
      <c r="D291" s="276" t="s">
        <v>32</v>
      </c>
      <c r="E291" s="275" t="s">
        <v>26</v>
      </c>
      <c r="F291" s="283">
        <v>40</v>
      </c>
      <c r="G291" s="283" t="s">
        <v>71</v>
      </c>
      <c r="H291" s="284">
        <v>5</v>
      </c>
      <c r="I291" s="285">
        <v>61</v>
      </c>
      <c r="J291" s="233">
        <v>54</v>
      </c>
      <c r="K291" s="284">
        <v>5</v>
      </c>
      <c r="L291" s="263"/>
      <c r="M291" s="280" t="s">
        <v>115</v>
      </c>
      <c r="N291" s="234" t="s">
        <v>395</v>
      </c>
      <c r="O291" s="281">
        <v>44217</v>
      </c>
      <c r="P291" s="275" t="s">
        <v>64</v>
      </c>
      <c r="Q291" s="263" t="s">
        <v>60</v>
      </c>
      <c r="R291" s="233"/>
      <c r="S291" s="282"/>
      <c r="T291" s="265"/>
      <c r="U291" s="265"/>
      <c r="V291" s="266"/>
      <c r="X291" s="240"/>
      <c r="Y291" s="268"/>
      <c r="Z291" s="240"/>
      <c r="AA291" s="241"/>
    </row>
    <row r="292" spans="1:27" s="267" customFormat="1">
      <c r="A292" s="232">
        <v>284</v>
      </c>
      <c r="B292" s="275" t="s">
        <v>13</v>
      </c>
      <c r="C292" s="275">
        <v>2</v>
      </c>
      <c r="D292" s="276" t="s">
        <v>32</v>
      </c>
      <c r="E292" s="275" t="s">
        <v>26</v>
      </c>
      <c r="F292" s="283">
        <v>40</v>
      </c>
      <c r="G292" s="283" t="s">
        <v>69</v>
      </c>
      <c r="H292" s="284">
        <v>7</v>
      </c>
      <c r="I292" s="285">
        <v>169</v>
      </c>
      <c r="J292" s="233">
        <v>150</v>
      </c>
      <c r="K292" s="284">
        <v>7</v>
      </c>
      <c r="L292" s="263"/>
      <c r="M292" s="280" t="s">
        <v>115</v>
      </c>
      <c r="N292" s="234" t="s">
        <v>395</v>
      </c>
      <c r="O292" s="281">
        <v>44217</v>
      </c>
      <c r="P292" s="275" t="s">
        <v>64</v>
      </c>
      <c r="Q292" s="263" t="s">
        <v>60</v>
      </c>
      <c r="R292" s="233"/>
      <c r="S292" s="282"/>
      <c r="T292" s="265"/>
      <c r="U292" s="265"/>
      <c r="V292" s="266"/>
      <c r="X292" s="240"/>
      <c r="Y292" s="268"/>
      <c r="Z292" s="240"/>
      <c r="AA292" s="241"/>
    </row>
    <row r="293" spans="1:27" s="267" customFormat="1">
      <c r="A293" s="232">
        <v>285</v>
      </c>
      <c r="B293" s="275" t="s">
        <v>13</v>
      </c>
      <c r="C293" s="275">
        <v>2</v>
      </c>
      <c r="D293" s="276" t="s">
        <v>32</v>
      </c>
      <c r="E293" s="275" t="s">
        <v>26</v>
      </c>
      <c r="F293" s="283">
        <v>40</v>
      </c>
      <c r="G293" s="283" t="s">
        <v>67</v>
      </c>
      <c r="H293" s="285">
        <v>0.2</v>
      </c>
      <c r="I293" s="285">
        <v>13</v>
      </c>
      <c r="J293" s="233">
        <v>13</v>
      </c>
      <c r="K293" s="285">
        <v>0.2</v>
      </c>
      <c r="L293" s="263"/>
      <c r="M293" s="280" t="s">
        <v>115</v>
      </c>
      <c r="N293" s="234" t="s">
        <v>395</v>
      </c>
      <c r="O293" s="281">
        <v>44217</v>
      </c>
      <c r="P293" s="275" t="s">
        <v>64</v>
      </c>
      <c r="Q293" s="263" t="s">
        <v>60</v>
      </c>
      <c r="R293" s="233"/>
      <c r="S293" s="282"/>
      <c r="T293" s="265"/>
      <c r="U293" s="265"/>
      <c r="V293" s="266"/>
      <c r="X293" s="240"/>
      <c r="Y293" s="268"/>
      <c r="Z293" s="240"/>
      <c r="AA293" s="241"/>
    </row>
    <row r="294" spans="1:27" s="267" customFormat="1">
      <c r="A294" s="232">
        <v>286</v>
      </c>
      <c r="B294" s="275" t="s">
        <v>13</v>
      </c>
      <c r="C294" s="275">
        <v>2</v>
      </c>
      <c r="D294" s="276" t="s">
        <v>32</v>
      </c>
      <c r="E294" s="275" t="s">
        <v>26</v>
      </c>
      <c r="F294" s="283">
        <v>40</v>
      </c>
      <c r="G294" s="283" t="s">
        <v>85</v>
      </c>
      <c r="H294" s="284">
        <v>0.8</v>
      </c>
      <c r="I294" s="285">
        <v>48</v>
      </c>
      <c r="J294" s="233">
        <v>43</v>
      </c>
      <c r="K294" s="284">
        <v>0.8</v>
      </c>
      <c r="L294" s="263"/>
      <c r="M294" s="280" t="s">
        <v>115</v>
      </c>
      <c r="N294" s="234" t="s">
        <v>395</v>
      </c>
      <c r="O294" s="281">
        <v>44217</v>
      </c>
      <c r="P294" s="275" t="s">
        <v>64</v>
      </c>
      <c r="Q294" s="263" t="s">
        <v>60</v>
      </c>
      <c r="R294" s="233"/>
      <c r="S294" s="282"/>
      <c r="T294" s="265"/>
      <c r="U294" s="265"/>
      <c r="V294" s="266"/>
      <c r="X294" s="240"/>
      <c r="Y294" s="268"/>
      <c r="Z294" s="240"/>
      <c r="AA294" s="241"/>
    </row>
    <row r="295" spans="1:27" s="267" customFormat="1">
      <c r="A295" s="232">
        <v>287</v>
      </c>
      <c r="B295" s="275" t="s">
        <v>13</v>
      </c>
      <c r="C295" s="275">
        <v>2</v>
      </c>
      <c r="D295" s="276" t="s">
        <v>413</v>
      </c>
      <c r="E295" s="275" t="s">
        <v>28</v>
      </c>
      <c r="F295" s="275">
        <v>8</v>
      </c>
      <c r="G295" s="234" t="s">
        <v>89</v>
      </c>
      <c r="H295" s="277">
        <v>1.5</v>
      </c>
      <c r="I295" s="263">
        <v>212</v>
      </c>
      <c r="J295" s="263">
        <v>94</v>
      </c>
      <c r="K295" s="277">
        <v>1.5</v>
      </c>
      <c r="L295" s="263"/>
      <c r="M295" s="280" t="s">
        <v>115</v>
      </c>
      <c r="N295" s="234" t="s">
        <v>414</v>
      </c>
      <c r="O295" s="281">
        <v>44211</v>
      </c>
      <c r="P295" s="275" t="s">
        <v>64</v>
      </c>
      <c r="Q295" s="263" t="s">
        <v>42</v>
      </c>
      <c r="R295" s="233"/>
      <c r="S295" s="282"/>
      <c r="T295" s="265"/>
      <c r="U295" s="265"/>
      <c r="V295" s="266"/>
      <c r="X295" s="240"/>
      <c r="Y295" s="268"/>
      <c r="Z295" s="240"/>
      <c r="AA295" s="241"/>
    </row>
    <row r="296" spans="1:27" s="267" customFormat="1">
      <c r="A296" s="232">
        <v>288</v>
      </c>
      <c r="B296" s="275" t="s">
        <v>7</v>
      </c>
      <c r="C296" s="275">
        <v>4</v>
      </c>
      <c r="D296" s="276" t="s">
        <v>31</v>
      </c>
      <c r="E296" s="275" t="s">
        <v>26</v>
      </c>
      <c r="F296" s="275">
        <v>103</v>
      </c>
      <c r="G296" s="234" t="s">
        <v>67</v>
      </c>
      <c r="H296" s="277">
        <v>4.5</v>
      </c>
      <c r="I296" s="263">
        <v>4</v>
      </c>
      <c r="J296" s="263"/>
      <c r="K296" s="277">
        <v>4.5</v>
      </c>
      <c r="L296" s="263"/>
      <c r="M296" s="280" t="s">
        <v>115</v>
      </c>
      <c r="N296" s="234" t="s">
        <v>415</v>
      </c>
      <c r="O296" s="281">
        <v>44211</v>
      </c>
      <c r="P296" s="275" t="s">
        <v>65</v>
      </c>
      <c r="Q296" s="263" t="s">
        <v>105</v>
      </c>
      <c r="R296" s="233"/>
      <c r="S296" s="282"/>
      <c r="T296" s="265"/>
      <c r="U296" s="265"/>
      <c r="V296" s="266" t="s">
        <v>37</v>
      </c>
      <c r="X296" s="240"/>
      <c r="Y296" s="268"/>
      <c r="Z296" s="240"/>
      <c r="AA296" s="241"/>
    </row>
    <row r="297" spans="1:27" s="267" customFormat="1">
      <c r="A297" s="232">
        <v>289</v>
      </c>
      <c r="B297" s="275" t="s">
        <v>7</v>
      </c>
      <c r="C297" s="275">
        <v>4</v>
      </c>
      <c r="D297" s="276" t="s">
        <v>31</v>
      </c>
      <c r="E297" s="275" t="s">
        <v>26</v>
      </c>
      <c r="F297" s="275">
        <v>105</v>
      </c>
      <c r="G297" s="234" t="s">
        <v>71</v>
      </c>
      <c r="H297" s="277">
        <v>3.3</v>
      </c>
      <c r="I297" s="263">
        <v>18</v>
      </c>
      <c r="J297" s="263"/>
      <c r="K297" s="277">
        <v>3.3</v>
      </c>
      <c r="L297" s="263"/>
      <c r="M297" s="280" t="s">
        <v>115</v>
      </c>
      <c r="N297" s="234" t="s">
        <v>415</v>
      </c>
      <c r="O297" s="281">
        <v>44211</v>
      </c>
      <c r="P297" s="275" t="s">
        <v>65</v>
      </c>
      <c r="Q297" s="263" t="s">
        <v>105</v>
      </c>
      <c r="R297" s="233"/>
      <c r="S297" s="282"/>
      <c r="T297" s="265"/>
      <c r="U297" s="265"/>
      <c r="V297" s="266" t="s">
        <v>37</v>
      </c>
      <c r="X297" s="240"/>
      <c r="Y297" s="268"/>
      <c r="Z297" s="240"/>
      <c r="AA297" s="241"/>
    </row>
    <row r="298" spans="1:27" s="267" customFormat="1">
      <c r="A298" s="232">
        <v>290</v>
      </c>
      <c r="B298" s="275" t="s">
        <v>7</v>
      </c>
      <c r="C298" s="275">
        <v>4</v>
      </c>
      <c r="D298" s="276" t="s">
        <v>31</v>
      </c>
      <c r="E298" s="275" t="s">
        <v>26</v>
      </c>
      <c r="F298" s="275">
        <v>106</v>
      </c>
      <c r="G298" s="234" t="s">
        <v>71</v>
      </c>
      <c r="H298" s="277">
        <v>1.8</v>
      </c>
      <c r="I298" s="263">
        <v>13</v>
      </c>
      <c r="J298" s="263"/>
      <c r="K298" s="277">
        <v>1.8</v>
      </c>
      <c r="L298" s="286"/>
      <c r="M298" s="280" t="s">
        <v>115</v>
      </c>
      <c r="N298" s="234" t="s">
        <v>415</v>
      </c>
      <c r="O298" s="281">
        <v>44211</v>
      </c>
      <c r="P298" s="275" t="s">
        <v>65</v>
      </c>
      <c r="Q298" s="263" t="s">
        <v>105</v>
      </c>
      <c r="R298" s="233"/>
      <c r="S298" s="282"/>
      <c r="T298" s="265"/>
      <c r="U298" s="265"/>
      <c r="V298" s="266"/>
      <c r="X298" s="240"/>
      <c r="Y298" s="268"/>
      <c r="Z298" s="240"/>
      <c r="AA298" s="241"/>
    </row>
    <row r="299" spans="1:27" s="267" customFormat="1">
      <c r="A299" s="232">
        <v>291</v>
      </c>
      <c r="B299" s="275" t="s">
        <v>7</v>
      </c>
      <c r="C299" s="275">
        <v>3</v>
      </c>
      <c r="D299" s="276" t="s">
        <v>31</v>
      </c>
      <c r="E299" s="275" t="s">
        <v>26</v>
      </c>
      <c r="F299" s="275">
        <v>120</v>
      </c>
      <c r="G299" s="234" t="s">
        <v>75</v>
      </c>
      <c r="H299" s="277">
        <v>1</v>
      </c>
      <c r="I299" s="263">
        <v>2</v>
      </c>
      <c r="J299" s="263"/>
      <c r="K299" s="277">
        <v>1</v>
      </c>
      <c r="L299" s="286"/>
      <c r="M299" s="280" t="s">
        <v>115</v>
      </c>
      <c r="N299" s="234" t="s">
        <v>415</v>
      </c>
      <c r="O299" s="281">
        <v>44211</v>
      </c>
      <c r="P299" s="275" t="s">
        <v>65</v>
      </c>
      <c r="Q299" s="263" t="s">
        <v>105</v>
      </c>
      <c r="R299" s="233"/>
      <c r="S299" s="282"/>
      <c r="T299" s="265"/>
      <c r="U299" s="265"/>
      <c r="V299" s="266"/>
      <c r="X299" s="240"/>
      <c r="Y299" s="268"/>
      <c r="Z299" s="240"/>
      <c r="AA299" s="241"/>
    </row>
    <row r="300" spans="1:27" s="267" customFormat="1">
      <c r="A300" s="232">
        <v>292</v>
      </c>
      <c r="B300" s="275" t="s">
        <v>7</v>
      </c>
      <c r="C300" s="275">
        <v>4</v>
      </c>
      <c r="D300" s="276" t="s">
        <v>31</v>
      </c>
      <c r="E300" s="275" t="s">
        <v>26</v>
      </c>
      <c r="F300" s="275">
        <v>122</v>
      </c>
      <c r="G300" s="234" t="s">
        <v>79</v>
      </c>
      <c r="H300" s="277">
        <v>0.8</v>
      </c>
      <c r="I300" s="263">
        <v>2</v>
      </c>
      <c r="J300" s="263"/>
      <c r="K300" s="277">
        <v>0.8</v>
      </c>
      <c r="L300" s="286"/>
      <c r="M300" s="280" t="s">
        <v>115</v>
      </c>
      <c r="N300" s="234" t="s">
        <v>415</v>
      </c>
      <c r="O300" s="281">
        <v>44211</v>
      </c>
      <c r="P300" s="275" t="s">
        <v>65</v>
      </c>
      <c r="Q300" s="263" t="s">
        <v>105</v>
      </c>
      <c r="R300" s="233"/>
      <c r="S300" s="282"/>
      <c r="T300" s="265"/>
      <c r="U300" s="265"/>
      <c r="V300" s="266"/>
      <c r="X300" s="240"/>
      <c r="Y300" s="268"/>
      <c r="Z300" s="240"/>
      <c r="AA300" s="241"/>
    </row>
    <row r="301" spans="1:27" s="267" customFormat="1" ht="24" customHeight="1">
      <c r="A301" s="232">
        <v>293</v>
      </c>
      <c r="B301" s="275" t="s">
        <v>7</v>
      </c>
      <c r="C301" s="275">
        <v>4</v>
      </c>
      <c r="D301" s="276" t="s">
        <v>31</v>
      </c>
      <c r="E301" s="275" t="s">
        <v>26</v>
      </c>
      <c r="F301" s="275">
        <v>122</v>
      </c>
      <c r="G301" s="234" t="s">
        <v>85</v>
      </c>
      <c r="H301" s="277">
        <v>1.5</v>
      </c>
      <c r="I301" s="263">
        <v>5</v>
      </c>
      <c r="J301" s="263"/>
      <c r="K301" s="277">
        <v>1.5</v>
      </c>
      <c r="L301" s="277"/>
      <c r="M301" s="280" t="s">
        <v>115</v>
      </c>
      <c r="N301" s="234" t="s">
        <v>415</v>
      </c>
      <c r="O301" s="281">
        <v>44211</v>
      </c>
      <c r="P301" s="275" t="s">
        <v>65</v>
      </c>
      <c r="Q301" s="263" t="s">
        <v>105</v>
      </c>
      <c r="R301" s="233"/>
      <c r="S301" s="282"/>
      <c r="T301" s="265"/>
      <c r="U301" s="265"/>
      <c r="V301" s="266" t="s">
        <v>56</v>
      </c>
      <c r="X301" s="240"/>
      <c r="Y301" s="268"/>
      <c r="Z301" s="240"/>
      <c r="AA301" s="241"/>
    </row>
    <row r="302" spans="1:27" s="267" customFormat="1">
      <c r="A302" s="232">
        <v>294</v>
      </c>
      <c r="B302" s="275" t="s">
        <v>7</v>
      </c>
      <c r="C302" s="275">
        <v>3</v>
      </c>
      <c r="D302" s="276" t="s">
        <v>31</v>
      </c>
      <c r="E302" s="275" t="s">
        <v>26</v>
      </c>
      <c r="F302" s="275">
        <v>70</v>
      </c>
      <c r="G302" s="234" t="s">
        <v>90</v>
      </c>
      <c r="H302" s="277">
        <v>0.5</v>
      </c>
      <c r="I302" s="263">
        <v>4</v>
      </c>
      <c r="J302" s="263"/>
      <c r="K302" s="277">
        <v>0.5</v>
      </c>
      <c r="L302" s="277"/>
      <c r="M302" s="280" t="s">
        <v>115</v>
      </c>
      <c r="N302" s="234" t="s">
        <v>415</v>
      </c>
      <c r="O302" s="281">
        <v>44211</v>
      </c>
      <c r="P302" s="275" t="s">
        <v>65</v>
      </c>
      <c r="Q302" s="263" t="s">
        <v>105</v>
      </c>
      <c r="R302" s="233"/>
      <c r="S302" s="282"/>
      <c r="T302" s="265"/>
      <c r="U302" s="265"/>
      <c r="V302" s="266" t="s">
        <v>56</v>
      </c>
      <c r="X302" s="240"/>
      <c r="Y302" s="268"/>
      <c r="Z302" s="240"/>
      <c r="AA302" s="241"/>
    </row>
    <row r="303" spans="1:27" s="267" customFormat="1">
      <c r="A303" s="232">
        <v>295</v>
      </c>
      <c r="B303" s="275" t="s">
        <v>7</v>
      </c>
      <c r="C303" s="275">
        <v>4</v>
      </c>
      <c r="D303" s="276" t="s">
        <v>31</v>
      </c>
      <c r="E303" s="275" t="s">
        <v>26</v>
      </c>
      <c r="F303" s="275">
        <v>71</v>
      </c>
      <c r="G303" s="234" t="s">
        <v>79</v>
      </c>
      <c r="H303" s="277">
        <v>4</v>
      </c>
      <c r="I303" s="263">
        <v>22</v>
      </c>
      <c r="J303" s="263"/>
      <c r="K303" s="277">
        <v>4</v>
      </c>
      <c r="L303" s="277"/>
      <c r="M303" s="280" t="s">
        <v>115</v>
      </c>
      <c r="N303" s="234" t="s">
        <v>415</v>
      </c>
      <c r="O303" s="281">
        <v>44211</v>
      </c>
      <c r="P303" s="275" t="s">
        <v>65</v>
      </c>
      <c r="Q303" s="263" t="s">
        <v>105</v>
      </c>
      <c r="R303" s="233"/>
      <c r="S303" s="282"/>
      <c r="T303" s="265"/>
      <c r="U303" s="265"/>
      <c r="V303" s="266" t="s">
        <v>56</v>
      </c>
      <c r="X303" s="240"/>
      <c r="Y303" s="268"/>
      <c r="Z303" s="240"/>
      <c r="AA303" s="241"/>
    </row>
    <row r="304" spans="1:27" s="267" customFormat="1">
      <c r="A304" s="232">
        <v>296</v>
      </c>
      <c r="B304" s="275" t="s">
        <v>7</v>
      </c>
      <c r="C304" s="275">
        <v>4</v>
      </c>
      <c r="D304" s="276" t="s">
        <v>31</v>
      </c>
      <c r="E304" s="275" t="s">
        <v>28</v>
      </c>
      <c r="F304" s="275">
        <v>76</v>
      </c>
      <c r="G304" s="234" t="s">
        <v>78</v>
      </c>
      <c r="H304" s="277">
        <v>1.3</v>
      </c>
      <c r="I304" s="263">
        <v>2</v>
      </c>
      <c r="J304" s="263"/>
      <c r="K304" s="277">
        <v>1.3</v>
      </c>
      <c r="L304" s="277"/>
      <c r="M304" s="280" t="s">
        <v>115</v>
      </c>
      <c r="N304" s="234" t="s">
        <v>415</v>
      </c>
      <c r="O304" s="281">
        <v>44211</v>
      </c>
      <c r="P304" s="275" t="s">
        <v>65</v>
      </c>
      <c r="Q304" s="263" t="s">
        <v>105</v>
      </c>
      <c r="R304" s="233"/>
      <c r="S304" s="282"/>
      <c r="T304" s="265"/>
      <c r="U304" s="265"/>
      <c r="V304" s="266" t="s">
        <v>56</v>
      </c>
      <c r="X304" s="240"/>
      <c r="Y304" s="268"/>
      <c r="Z304" s="240"/>
      <c r="AA304" s="241"/>
    </row>
    <row r="305" spans="1:27" s="267" customFormat="1">
      <c r="A305" s="232">
        <v>297</v>
      </c>
      <c r="B305" s="275" t="s">
        <v>7</v>
      </c>
      <c r="C305" s="275">
        <v>4</v>
      </c>
      <c r="D305" s="276" t="s">
        <v>31</v>
      </c>
      <c r="E305" s="275" t="s">
        <v>28</v>
      </c>
      <c r="F305" s="275">
        <v>79</v>
      </c>
      <c r="G305" s="234" t="s">
        <v>79</v>
      </c>
      <c r="H305" s="277">
        <v>2.1</v>
      </c>
      <c r="I305" s="263">
        <v>12</v>
      </c>
      <c r="J305" s="263"/>
      <c r="K305" s="277">
        <v>2.1</v>
      </c>
      <c r="L305" s="277"/>
      <c r="M305" s="280" t="s">
        <v>115</v>
      </c>
      <c r="N305" s="234" t="s">
        <v>415</v>
      </c>
      <c r="O305" s="281">
        <v>44211</v>
      </c>
      <c r="P305" s="275" t="s">
        <v>65</v>
      </c>
      <c r="Q305" s="263" t="s">
        <v>105</v>
      </c>
      <c r="R305" s="233"/>
      <c r="S305" s="282"/>
      <c r="T305" s="265"/>
      <c r="U305" s="265"/>
      <c r="V305" s="266" t="s">
        <v>56</v>
      </c>
      <c r="X305" s="240"/>
      <c r="Y305" s="268"/>
      <c r="Z305" s="240"/>
      <c r="AA305" s="241"/>
    </row>
    <row r="306" spans="1:27" s="267" customFormat="1">
      <c r="A306" s="232">
        <v>298</v>
      </c>
      <c r="B306" s="275" t="s">
        <v>7</v>
      </c>
      <c r="C306" s="275">
        <v>4</v>
      </c>
      <c r="D306" s="276" t="s">
        <v>31</v>
      </c>
      <c r="E306" s="275" t="s">
        <v>28</v>
      </c>
      <c r="F306" s="275">
        <v>79</v>
      </c>
      <c r="G306" s="234" t="s">
        <v>79</v>
      </c>
      <c r="H306" s="277">
        <v>2.1</v>
      </c>
      <c r="I306" s="263">
        <v>17</v>
      </c>
      <c r="J306" s="263"/>
      <c r="K306" s="277">
        <v>2.1</v>
      </c>
      <c r="L306" s="277"/>
      <c r="M306" s="280" t="s">
        <v>115</v>
      </c>
      <c r="N306" s="234" t="s">
        <v>415</v>
      </c>
      <c r="O306" s="281">
        <v>44211</v>
      </c>
      <c r="P306" s="275" t="s">
        <v>65</v>
      </c>
      <c r="Q306" s="263" t="s">
        <v>105</v>
      </c>
      <c r="R306" s="233"/>
      <c r="S306" s="282"/>
      <c r="T306" s="265"/>
      <c r="U306" s="265"/>
      <c r="V306" s="266"/>
      <c r="X306" s="240"/>
      <c r="Y306" s="268"/>
      <c r="Z306" s="240"/>
      <c r="AA306" s="241"/>
    </row>
    <row r="307" spans="1:27" s="267" customFormat="1">
      <c r="A307" s="232">
        <v>299</v>
      </c>
      <c r="B307" s="275" t="s">
        <v>7</v>
      </c>
      <c r="C307" s="275">
        <v>4</v>
      </c>
      <c r="D307" s="276" t="s">
        <v>31</v>
      </c>
      <c r="E307" s="275" t="s">
        <v>26</v>
      </c>
      <c r="F307" s="275">
        <v>94</v>
      </c>
      <c r="G307" s="234" t="s">
        <v>67</v>
      </c>
      <c r="H307" s="277">
        <v>3.1</v>
      </c>
      <c r="I307" s="263">
        <v>4</v>
      </c>
      <c r="J307" s="263"/>
      <c r="K307" s="277">
        <v>3.1</v>
      </c>
      <c r="L307" s="277"/>
      <c r="M307" s="280" t="s">
        <v>115</v>
      </c>
      <c r="N307" s="234" t="s">
        <v>415</v>
      </c>
      <c r="O307" s="281">
        <v>44211</v>
      </c>
      <c r="P307" s="275" t="s">
        <v>65</v>
      </c>
      <c r="Q307" s="263" t="s">
        <v>105</v>
      </c>
      <c r="R307" s="233"/>
      <c r="S307" s="282"/>
      <c r="T307" s="265"/>
      <c r="U307" s="265"/>
      <c r="V307" s="266"/>
      <c r="X307" s="240"/>
      <c r="Y307" s="268"/>
      <c r="Z307" s="240"/>
      <c r="AA307" s="241"/>
    </row>
    <row r="308" spans="1:27" s="267" customFormat="1">
      <c r="A308" s="232">
        <v>300</v>
      </c>
      <c r="B308" s="275" t="s">
        <v>7</v>
      </c>
      <c r="C308" s="275">
        <v>4</v>
      </c>
      <c r="D308" s="276" t="s">
        <v>23</v>
      </c>
      <c r="E308" s="275" t="s">
        <v>26</v>
      </c>
      <c r="F308" s="275">
        <v>99</v>
      </c>
      <c r="G308" s="234" t="s">
        <v>71</v>
      </c>
      <c r="H308" s="277">
        <v>4.8</v>
      </c>
      <c r="I308" s="263">
        <v>43</v>
      </c>
      <c r="J308" s="263">
        <v>8</v>
      </c>
      <c r="K308" s="286">
        <v>4.8</v>
      </c>
      <c r="L308" s="277"/>
      <c r="M308" s="280" t="s">
        <v>115</v>
      </c>
      <c r="N308" s="234" t="s">
        <v>416</v>
      </c>
      <c r="O308" s="281">
        <v>44211</v>
      </c>
      <c r="P308" s="275" t="s">
        <v>65</v>
      </c>
      <c r="Q308" s="263" t="s">
        <v>105</v>
      </c>
      <c r="R308" s="233"/>
      <c r="S308" s="282"/>
      <c r="T308" s="265"/>
      <c r="U308" s="265"/>
      <c r="V308" s="266"/>
      <c r="X308" s="240"/>
      <c r="Y308" s="268"/>
      <c r="Z308" s="240"/>
      <c r="AA308" s="241"/>
    </row>
    <row r="309" spans="1:27" s="267" customFormat="1">
      <c r="A309" s="232">
        <v>301</v>
      </c>
      <c r="B309" s="275" t="s">
        <v>7</v>
      </c>
      <c r="C309" s="275">
        <v>4</v>
      </c>
      <c r="D309" s="276" t="s">
        <v>23</v>
      </c>
      <c r="E309" s="275" t="s">
        <v>26</v>
      </c>
      <c r="F309" s="275">
        <v>81</v>
      </c>
      <c r="G309" s="234" t="s">
        <v>69</v>
      </c>
      <c r="H309" s="277">
        <v>3.3</v>
      </c>
      <c r="I309" s="263">
        <v>27</v>
      </c>
      <c r="J309" s="263">
        <v>3</v>
      </c>
      <c r="K309" s="286">
        <v>3.3</v>
      </c>
      <c r="L309" s="277"/>
      <c r="M309" s="280" t="s">
        <v>115</v>
      </c>
      <c r="N309" s="234" t="s">
        <v>416</v>
      </c>
      <c r="O309" s="281">
        <v>44211</v>
      </c>
      <c r="P309" s="275" t="s">
        <v>65</v>
      </c>
      <c r="Q309" s="263" t="s">
        <v>105</v>
      </c>
      <c r="R309" s="233"/>
      <c r="S309" s="282"/>
      <c r="T309" s="265"/>
      <c r="U309" s="265"/>
      <c r="V309" s="266"/>
      <c r="X309" s="240"/>
      <c r="Y309" s="268"/>
      <c r="Z309" s="240"/>
      <c r="AA309" s="241"/>
    </row>
    <row r="310" spans="1:27" s="267" customFormat="1">
      <c r="A310" s="232">
        <v>302</v>
      </c>
      <c r="B310" s="275" t="s">
        <v>7</v>
      </c>
      <c r="C310" s="275">
        <v>4</v>
      </c>
      <c r="D310" s="276" t="s">
        <v>24</v>
      </c>
      <c r="E310" s="275" t="s">
        <v>26</v>
      </c>
      <c r="F310" s="275">
        <v>106</v>
      </c>
      <c r="G310" s="234" t="s">
        <v>74</v>
      </c>
      <c r="H310" s="277">
        <v>6</v>
      </c>
      <c r="I310" s="263">
        <v>160</v>
      </c>
      <c r="J310" s="263">
        <v>135</v>
      </c>
      <c r="K310" s="286">
        <v>6</v>
      </c>
      <c r="L310" s="277"/>
      <c r="M310" s="280" t="s">
        <v>115</v>
      </c>
      <c r="N310" s="234" t="s">
        <v>417</v>
      </c>
      <c r="O310" s="281">
        <v>44201</v>
      </c>
      <c r="P310" s="275" t="s">
        <v>65</v>
      </c>
      <c r="Q310" s="263" t="s">
        <v>105</v>
      </c>
      <c r="R310" s="233"/>
      <c r="S310" s="282"/>
      <c r="T310" s="265"/>
      <c r="U310" s="265"/>
      <c r="V310" s="266"/>
      <c r="X310" s="240"/>
      <c r="Y310" s="268"/>
      <c r="Z310" s="240"/>
      <c r="AA310" s="241"/>
    </row>
    <row r="311" spans="1:27" s="267" customFormat="1">
      <c r="A311" s="232">
        <v>303</v>
      </c>
      <c r="B311" s="275" t="s">
        <v>7</v>
      </c>
      <c r="C311" s="275">
        <v>4</v>
      </c>
      <c r="D311" s="276" t="s">
        <v>24</v>
      </c>
      <c r="E311" s="275" t="s">
        <v>26</v>
      </c>
      <c r="F311" s="275">
        <v>116</v>
      </c>
      <c r="G311" s="234" t="s">
        <v>85</v>
      </c>
      <c r="H311" s="277">
        <v>1.1000000000000001</v>
      </c>
      <c r="I311" s="263">
        <v>28</v>
      </c>
      <c r="J311" s="263">
        <v>26</v>
      </c>
      <c r="K311" s="286">
        <v>1.1000000000000001</v>
      </c>
      <c r="L311" s="277"/>
      <c r="M311" s="280" t="s">
        <v>115</v>
      </c>
      <c r="N311" s="234" t="s">
        <v>417</v>
      </c>
      <c r="O311" s="281">
        <v>44201</v>
      </c>
      <c r="P311" s="275" t="s">
        <v>65</v>
      </c>
      <c r="Q311" s="263" t="s">
        <v>105</v>
      </c>
      <c r="R311" s="233"/>
      <c r="S311" s="282"/>
      <c r="T311" s="265"/>
      <c r="U311" s="265"/>
      <c r="V311" s="266"/>
      <c r="X311" s="240"/>
      <c r="Y311" s="268"/>
      <c r="Z311" s="240"/>
      <c r="AA311" s="241"/>
    </row>
    <row r="312" spans="1:27" s="267" customFormat="1">
      <c r="A312" s="232">
        <v>304</v>
      </c>
      <c r="B312" s="275" t="s">
        <v>7</v>
      </c>
      <c r="C312" s="275">
        <v>4</v>
      </c>
      <c r="D312" s="276" t="s">
        <v>24</v>
      </c>
      <c r="E312" s="275" t="s">
        <v>26</v>
      </c>
      <c r="F312" s="275">
        <v>93</v>
      </c>
      <c r="G312" s="234" t="s">
        <v>72</v>
      </c>
      <c r="H312" s="277">
        <v>6</v>
      </c>
      <c r="I312" s="263">
        <v>191</v>
      </c>
      <c r="J312" s="263">
        <v>163</v>
      </c>
      <c r="K312" s="277">
        <v>6</v>
      </c>
      <c r="L312" s="277"/>
      <c r="M312" s="280" t="s">
        <v>115</v>
      </c>
      <c r="N312" s="234" t="s">
        <v>417</v>
      </c>
      <c r="O312" s="281">
        <v>44201</v>
      </c>
      <c r="P312" s="275" t="s">
        <v>65</v>
      </c>
      <c r="Q312" s="263" t="s">
        <v>105</v>
      </c>
      <c r="R312" s="233"/>
      <c r="S312" s="282"/>
      <c r="T312" s="265"/>
      <c r="U312" s="265"/>
      <c r="V312" s="266"/>
      <c r="X312" s="240"/>
      <c r="Y312" s="268"/>
      <c r="Z312" s="240"/>
      <c r="AA312" s="241"/>
    </row>
    <row r="313" spans="1:27" s="267" customFormat="1">
      <c r="A313" s="232">
        <v>305</v>
      </c>
      <c r="B313" s="275" t="s">
        <v>7</v>
      </c>
      <c r="C313" s="275">
        <v>4</v>
      </c>
      <c r="D313" s="276" t="s">
        <v>22</v>
      </c>
      <c r="E313" s="275" t="s">
        <v>26</v>
      </c>
      <c r="F313" s="275">
        <v>80</v>
      </c>
      <c r="G313" s="234" t="s">
        <v>69</v>
      </c>
      <c r="H313" s="277">
        <v>6.5</v>
      </c>
      <c r="I313" s="263">
        <v>337</v>
      </c>
      <c r="J313" s="263">
        <v>286</v>
      </c>
      <c r="K313" s="277">
        <v>6.5</v>
      </c>
      <c r="L313" s="277"/>
      <c r="M313" s="280" t="s">
        <v>115</v>
      </c>
      <c r="N313" s="234" t="s">
        <v>418</v>
      </c>
      <c r="O313" s="281">
        <v>44201</v>
      </c>
      <c r="P313" s="275" t="s">
        <v>65</v>
      </c>
      <c r="Q313" s="263" t="s">
        <v>105</v>
      </c>
      <c r="R313" s="233"/>
      <c r="S313" s="282"/>
      <c r="T313" s="265"/>
      <c r="U313" s="265"/>
      <c r="V313" s="266"/>
      <c r="X313" s="240"/>
      <c r="Y313" s="268"/>
      <c r="Z313" s="240"/>
      <c r="AA313" s="241"/>
    </row>
    <row r="314" spans="1:27" s="267" customFormat="1">
      <c r="A314" s="232">
        <v>306</v>
      </c>
      <c r="B314" s="275" t="s">
        <v>7</v>
      </c>
      <c r="C314" s="275">
        <v>4</v>
      </c>
      <c r="D314" s="276" t="s">
        <v>22</v>
      </c>
      <c r="E314" s="275" t="s">
        <v>26</v>
      </c>
      <c r="F314" s="275">
        <v>84</v>
      </c>
      <c r="G314" s="234" t="s">
        <v>69</v>
      </c>
      <c r="H314" s="277">
        <v>9.3000000000000007</v>
      </c>
      <c r="I314" s="263">
        <v>298</v>
      </c>
      <c r="J314" s="263">
        <v>243</v>
      </c>
      <c r="K314" s="277">
        <v>9.3000000000000007</v>
      </c>
      <c r="L314" s="277"/>
      <c r="M314" s="280" t="s">
        <v>115</v>
      </c>
      <c r="N314" s="234" t="s">
        <v>418</v>
      </c>
      <c r="O314" s="281">
        <v>44201</v>
      </c>
      <c r="P314" s="275" t="s">
        <v>65</v>
      </c>
      <c r="Q314" s="263" t="s">
        <v>105</v>
      </c>
      <c r="R314" s="233"/>
      <c r="S314" s="282"/>
      <c r="T314" s="265"/>
      <c r="U314" s="265"/>
      <c r="V314" s="266"/>
      <c r="X314" s="240"/>
      <c r="Y314" s="268"/>
      <c r="Z314" s="240"/>
      <c r="AA314" s="241"/>
    </row>
    <row r="315" spans="1:27" s="267" customFormat="1">
      <c r="A315" s="232">
        <v>307</v>
      </c>
      <c r="B315" s="275" t="s">
        <v>7</v>
      </c>
      <c r="C315" s="275">
        <v>3</v>
      </c>
      <c r="D315" s="276" t="s">
        <v>32</v>
      </c>
      <c r="E315" s="275" t="s">
        <v>26</v>
      </c>
      <c r="F315" s="283">
        <v>66</v>
      </c>
      <c r="G315" s="283">
        <v>9</v>
      </c>
      <c r="H315" s="285">
        <v>3.5</v>
      </c>
      <c r="I315" s="285">
        <v>89</v>
      </c>
      <c r="J315" s="233">
        <v>48</v>
      </c>
      <c r="K315" s="285">
        <v>3.5</v>
      </c>
      <c r="L315" s="277"/>
      <c r="M315" s="280" t="s">
        <v>115</v>
      </c>
      <c r="N315" s="234" t="s">
        <v>419</v>
      </c>
      <c r="O315" s="281">
        <v>44217</v>
      </c>
      <c r="P315" s="275" t="s">
        <v>65</v>
      </c>
      <c r="Q315" s="263" t="s">
        <v>105</v>
      </c>
      <c r="R315" s="233"/>
      <c r="S315" s="282"/>
      <c r="T315" s="265"/>
      <c r="U315" s="265"/>
      <c r="V315" s="266"/>
      <c r="X315" s="240"/>
      <c r="Y315" s="268"/>
      <c r="Z315" s="240"/>
      <c r="AA315" s="241"/>
    </row>
    <row r="316" spans="1:27" s="267" customFormat="1">
      <c r="A316" s="232">
        <v>308</v>
      </c>
      <c r="B316" s="275" t="s">
        <v>7</v>
      </c>
      <c r="C316" s="275">
        <v>3</v>
      </c>
      <c r="D316" s="276" t="s">
        <v>32</v>
      </c>
      <c r="E316" s="275" t="s">
        <v>28</v>
      </c>
      <c r="F316" s="283">
        <v>67</v>
      </c>
      <c r="G316" s="283">
        <v>2</v>
      </c>
      <c r="H316" s="284">
        <v>1.5</v>
      </c>
      <c r="I316" s="285">
        <v>26</v>
      </c>
      <c r="J316" s="233">
        <v>18</v>
      </c>
      <c r="K316" s="284">
        <v>1.5</v>
      </c>
      <c r="L316" s="277"/>
      <c r="M316" s="280" t="s">
        <v>115</v>
      </c>
      <c r="N316" s="234" t="s">
        <v>419</v>
      </c>
      <c r="O316" s="281">
        <v>44217</v>
      </c>
      <c r="P316" s="275" t="s">
        <v>65</v>
      </c>
      <c r="Q316" s="263" t="s">
        <v>105</v>
      </c>
      <c r="R316" s="233"/>
      <c r="S316" s="282"/>
      <c r="T316" s="265"/>
      <c r="U316" s="265"/>
      <c r="V316" s="266"/>
      <c r="X316" s="240"/>
      <c r="Y316" s="268"/>
      <c r="Z316" s="240"/>
      <c r="AA316" s="241"/>
    </row>
    <row r="317" spans="1:27" s="267" customFormat="1">
      <c r="A317" s="232">
        <v>309</v>
      </c>
      <c r="B317" s="275" t="s">
        <v>7</v>
      </c>
      <c r="C317" s="275">
        <v>3</v>
      </c>
      <c r="D317" s="276" t="s">
        <v>32</v>
      </c>
      <c r="E317" s="275" t="s">
        <v>26</v>
      </c>
      <c r="F317" s="283">
        <v>67</v>
      </c>
      <c r="G317" s="283">
        <v>11</v>
      </c>
      <c r="H317" s="285">
        <v>0.4</v>
      </c>
      <c r="I317" s="285">
        <v>14</v>
      </c>
      <c r="J317" s="233">
        <v>11</v>
      </c>
      <c r="K317" s="285">
        <v>0.4</v>
      </c>
      <c r="L317" s="277"/>
      <c r="M317" s="280" t="s">
        <v>115</v>
      </c>
      <c r="N317" s="234" t="s">
        <v>419</v>
      </c>
      <c r="O317" s="281">
        <v>44217</v>
      </c>
      <c r="P317" s="275" t="s">
        <v>65</v>
      </c>
      <c r="Q317" s="263" t="s">
        <v>105</v>
      </c>
      <c r="R317" s="233"/>
      <c r="S317" s="282"/>
      <c r="T317" s="265"/>
      <c r="U317" s="265"/>
      <c r="V317" s="266"/>
      <c r="X317" s="240"/>
      <c r="Y317" s="268"/>
      <c r="Z317" s="240"/>
      <c r="AA317" s="241"/>
    </row>
    <row r="318" spans="1:27" s="267" customFormat="1">
      <c r="A318" s="232">
        <v>310</v>
      </c>
      <c r="B318" s="275" t="s">
        <v>7</v>
      </c>
      <c r="C318" s="275">
        <v>3</v>
      </c>
      <c r="D318" s="276" t="s">
        <v>32</v>
      </c>
      <c r="E318" s="275" t="s">
        <v>26</v>
      </c>
      <c r="F318" s="283">
        <v>67</v>
      </c>
      <c r="G318" s="283">
        <v>12</v>
      </c>
      <c r="H318" s="285">
        <v>1.6</v>
      </c>
      <c r="I318" s="285">
        <v>46</v>
      </c>
      <c r="J318" s="233">
        <v>11</v>
      </c>
      <c r="K318" s="285">
        <v>1.6</v>
      </c>
      <c r="L318" s="277"/>
      <c r="M318" s="280" t="s">
        <v>115</v>
      </c>
      <c r="N318" s="234" t="s">
        <v>419</v>
      </c>
      <c r="O318" s="281">
        <v>44217</v>
      </c>
      <c r="P318" s="275" t="s">
        <v>65</v>
      </c>
      <c r="Q318" s="263" t="s">
        <v>105</v>
      </c>
      <c r="R318" s="233"/>
      <c r="S318" s="282"/>
      <c r="T318" s="265"/>
      <c r="U318" s="265"/>
      <c r="V318" s="266"/>
      <c r="X318" s="240"/>
      <c r="Y318" s="268"/>
      <c r="Z318" s="240"/>
      <c r="AA318" s="241"/>
    </row>
    <row r="319" spans="1:27" s="267" customFormat="1">
      <c r="A319" s="232">
        <v>311</v>
      </c>
      <c r="B319" s="291" t="s">
        <v>7</v>
      </c>
      <c r="C319" s="291">
        <v>3</v>
      </c>
      <c r="D319" s="276" t="s">
        <v>32</v>
      </c>
      <c r="E319" s="275" t="s">
        <v>26</v>
      </c>
      <c r="F319" s="283">
        <v>67</v>
      </c>
      <c r="G319" s="283">
        <v>14</v>
      </c>
      <c r="H319" s="284">
        <v>1.2</v>
      </c>
      <c r="I319" s="285">
        <v>24</v>
      </c>
      <c r="J319" s="233">
        <v>19</v>
      </c>
      <c r="K319" s="284">
        <v>1.2</v>
      </c>
      <c r="L319" s="263"/>
      <c r="M319" s="280" t="s">
        <v>115</v>
      </c>
      <c r="N319" s="234" t="s">
        <v>419</v>
      </c>
      <c r="O319" s="281">
        <v>44217</v>
      </c>
      <c r="P319" s="275" t="s">
        <v>65</v>
      </c>
      <c r="Q319" s="263" t="s">
        <v>105</v>
      </c>
      <c r="R319" s="233"/>
      <c r="S319" s="282"/>
      <c r="T319" s="265"/>
      <c r="U319" s="265"/>
      <c r="V319" s="266" t="s">
        <v>38</v>
      </c>
      <c r="X319" s="240"/>
      <c r="Y319" s="268"/>
      <c r="Z319" s="240"/>
      <c r="AA319" s="241"/>
    </row>
    <row r="320" spans="1:27" s="267" customFormat="1">
      <c r="A320" s="232">
        <v>312</v>
      </c>
      <c r="B320" s="275" t="s">
        <v>7</v>
      </c>
      <c r="C320" s="275">
        <v>4</v>
      </c>
      <c r="D320" s="276" t="s">
        <v>32</v>
      </c>
      <c r="E320" s="275" t="s">
        <v>26</v>
      </c>
      <c r="F320" s="283">
        <v>67</v>
      </c>
      <c r="G320" s="283">
        <v>19</v>
      </c>
      <c r="H320" s="285">
        <v>1.6</v>
      </c>
      <c r="I320" s="285">
        <v>60</v>
      </c>
      <c r="J320" s="233">
        <v>43</v>
      </c>
      <c r="K320" s="285">
        <v>1.6</v>
      </c>
      <c r="L320" s="263"/>
      <c r="M320" s="280" t="s">
        <v>115</v>
      </c>
      <c r="N320" s="234" t="s">
        <v>419</v>
      </c>
      <c r="O320" s="281">
        <v>44217</v>
      </c>
      <c r="P320" s="275" t="s">
        <v>65</v>
      </c>
      <c r="Q320" s="263" t="s">
        <v>105</v>
      </c>
      <c r="R320" s="233"/>
      <c r="S320" s="282"/>
      <c r="T320" s="265"/>
      <c r="U320" s="265"/>
      <c r="V320" s="266" t="s">
        <v>38</v>
      </c>
      <c r="X320" s="240"/>
      <c r="Y320" s="268"/>
      <c r="Z320" s="240"/>
      <c r="AA320" s="241"/>
    </row>
    <row r="321" spans="1:27" s="267" customFormat="1">
      <c r="A321" s="232">
        <v>313</v>
      </c>
      <c r="B321" s="275" t="s">
        <v>7</v>
      </c>
      <c r="C321" s="275">
        <v>4</v>
      </c>
      <c r="D321" s="276" t="s">
        <v>32</v>
      </c>
      <c r="E321" s="275" t="s">
        <v>26</v>
      </c>
      <c r="F321" s="283">
        <v>71</v>
      </c>
      <c r="G321" s="283">
        <v>1</v>
      </c>
      <c r="H321" s="285">
        <v>6.9</v>
      </c>
      <c r="I321" s="285">
        <v>117</v>
      </c>
      <c r="J321" s="233">
        <v>65</v>
      </c>
      <c r="K321" s="285">
        <v>6.9</v>
      </c>
      <c r="L321" s="263"/>
      <c r="M321" s="280" t="s">
        <v>115</v>
      </c>
      <c r="N321" s="234" t="s">
        <v>419</v>
      </c>
      <c r="O321" s="281">
        <v>44217</v>
      </c>
      <c r="P321" s="275" t="s">
        <v>65</v>
      </c>
      <c r="Q321" s="263" t="s">
        <v>105</v>
      </c>
      <c r="R321" s="233"/>
      <c r="S321" s="282"/>
      <c r="T321" s="265"/>
      <c r="U321" s="265"/>
      <c r="V321" s="266" t="s">
        <v>38</v>
      </c>
      <c r="X321" s="240"/>
      <c r="Y321" s="268"/>
      <c r="Z321" s="240"/>
      <c r="AA321" s="241"/>
    </row>
    <row r="322" spans="1:27" s="267" customFormat="1">
      <c r="A322" s="232">
        <v>314</v>
      </c>
      <c r="B322" s="275" t="s">
        <v>7</v>
      </c>
      <c r="C322" s="275">
        <v>4</v>
      </c>
      <c r="D322" s="276" t="s">
        <v>32</v>
      </c>
      <c r="E322" s="275" t="s">
        <v>28</v>
      </c>
      <c r="F322" s="283">
        <v>71</v>
      </c>
      <c r="G322" s="283">
        <v>3</v>
      </c>
      <c r="H322" s="285">
        <v>1.5</v>
      </c>
      <c r="I322" s="285">
        <v>70</v>
      </c>
      <c r="J322" s="233">
        <v>34</v>
      </c>
      <c r="K322" s="285">
        <v>1.5</v>
      </c>
      <c r="L322" s="263"/>
      <c r="M322" s="280" t="s">
        <v>115</v>
      </c>
      <c r="N322" s="234" t="s">
        <v>419</v>
      </c>
      <c r="O322" s="281">
        <v>44217</v>
      </c>
      <c r="P322" s="275" t="s">
        <v>65</v>
      </c>
      <c r="Q322" s="263" t="s">
        <v>105</v>
      </c>
      <c r="R322" s="233"/>
      <c r="S322" s="282"/>
      <c r="T322" s="265"/>
      <c r="U322" s="265"/>
      <c r="V322" s="266" t="s">
        <v>38</v>
      </c>
      <c r="X322" s="240"/>
      <c r="Y322" s="268"/>
      <c r="Z322" s="240"/>
      <c r="AA322" s="241"/>
    </row>
    <row r="323" spans="1:27" s="267" customFormat="1">
      <c r="A323" s="232">
        <v>315</v>
      </c>
      <c r="B323" s="275" t="s">
        <v>7</v>
      </c>
      <c r="C323" s="275">
        <v>4</v>
      </c>
      <c r="D323" s="276" t="s">
        <v>32</v>
      </c>
      <c r="E323" s="275" t="s">
        <v>28</v>
      </c>
      <c r="F323" s="283">
        <v>71</v>
      </c>
      <c r="G323" s="283">
        <v>19</v>
      </c>
      <c r="H323" s="284">
        <v>2</v>
      </c>
      <c r="I323" s="285">
        <v>64</v>
      </c>
      <c r="J323" s="233">
        <v>37</v>
      </c>
      <c r="K323" s="284">
        <v>2</v>
      </c>
      <c r="L323" s="263"/>
      <c r="M323" s="280" t="s">
        <v>115</v>
      </c>
      <c r="N323" s="234" t="s">
        <v>419</v>
      </c>
      <c r="O323" s="281">
        <v>44217</v>
      </c>
      <c r="P323" s="275" t="s">
        <v>65</v>
      </c>
      <c r="Q323" s="263" t="s">
        <v>105</v>
      </c>
      <c r="R323" s="233"/>
      <c r="S323" s="282"/>
      <c r="T323" s="265"/>
      <c r="U323" s="265"/>
      <c r="V323" s="266" t="s">
        <v>38</v>
      </c>
      <c r="X323" s="240"/>
      <c r="Y323" s="268"/>
      <c r="Z323" s="240"/>
      <c r="AA323" s="241"/>
    </row>
    <row r="324" spans="1:27" s="267" customFormat="1">
      <c r="A324" s="232">
        <v>316</v>
      </c>
      <c r="B324" s="275" t="s">
        <v>7</v>
      </c>
      <c r="C324" s="275">
        <v>4</v>
      </c>
      <c r="D324" s="276" t="s">
        <v>32</v>
      </c>
      <c r="E324" s="275" t="s">
        <v>28</v>
      </c>
      <c r="F324" s="283">
        <v>77</v>
      </c>
      <c r="G324" s="283">
        <v>7</v>
      </c>
      <c r="H324" s="284">
        <v>1.6</v>
      </c>
      <c r="I324" s="285">
        <v>33</v>
      </c>
      <c r="J324" s="233">
        <v>28</v>
      </c>
      <c r="K324" s="284">
        <v>1.6</v>
      </c>
      <c r="L324" s="263"/>
      <c r="M324" s="280" t="s">
        <v>115</v>
      </c>
      <c r="N324" s="234" t="s">
        <v>419</v>
      </c>
      <c r="O324" s="281">
        <v>44217</v>
      </c>
      <c r="P324" s="275" t="s">
        <v>65</v>
      </c>
      <c r="Q324" s="263" t="s">
        <v>105</v>
      </c>
      <c r="R324" s="233"/>
      <c r="S324" s="282"/>
      <c r="T324" s="265"/>
      <c r="U324" s="265"/>
      <c r="V324" s="266"/>
      <c r="X324" s="240"/>
      <c r="Y324" s="268"/>
      <c r="Z324" s="240"/>
      <c r="AA324" s="241"/>
    </row>
    <row r="325" spans="1:27" s="267" customFormat="1">
      <c r="A325" s="232">
        <v>317</v>
      </c>
      <c r="B325" s="275" t="s">
        <v>7</v>
      </c>
      <c r="C325" s="275">
        <v>4</v>
      </c>
      <c r="D325" s="276" t="s">
        <v>32</v>
      </c>
      <c r="E325" s="275" t="s">
        <v>28</v>
      </c>
      <c r="F325" s="283">
        <v>79</v>
      </c>
      <c r="G325" s="283">
        <v>9</v>
      </c>
      <c r="H325" s="285">
        <v>2.4</v>
      </c>
      <c r="I325" s="285">
        <v>24</v>
      </c>
      <c r="J325" s="233">
        <v>18</v>
      </c>
      <c r="K325" s="285">
        <v>2.4</v>
      </c>
      <c r="L325" s="263"/>
      <c r="M325" s="280" t="s">
        <v>115</v>
      </c>
      <c r="N325" s="234" t="s">
        <v>419</v>
      </c>
      <c r="O325" s="281">
        <v>44217</v>
      </c>
      <c r="P325" s="275" t="s">
        <v>65</v>
      </c>
      <c r="Q325" s="263" t="s">
        <v>105</v>
      </c>
      <c r="R325" s="233"/>
      <c r="S325" s="282"/>
      <c r="T325" s="265"/>
      <c r="U325" s="265"/>
      <c r="V325" s="266"/>
      <c r="X325" s="240"/>
      <c r="Y325" s="268"/>
      <c r="Z325" s="240"/>
      <c r="AA325" s="241"/>
    </row>
    <row r="326" spans="1:27" s="267" customFormat="1">
      <c r="A326" s="232">
        <v>318</v>
      </c>
      <c r="B326" s="275" t="s">
        <v>7</v>
      </c>
      <c r="C326" s="275">
        <v>4</v>
      </c>
      <c r="D326" s="276" t="s">
        <v>32</v>
      </c>
      <c r="E326" s="275" t="s">
        <v>26</v>
      </c>
      <c r="F326" s="283">
        <v>80</v>
      </c>
      <c r="G326" s="283">
        <v>1</v>
      </c>
      <c r="H326" s="285">
        <v>2.9</v>
      </c>
      <c r="I326" s="285">
        <v>22</v>
      </c>
      <c r="J326" s="233">
        <v>19</v>
      </c>
      <c r="K326" s="285">
        <v>2.9</v>
      </c>
      <c r="L326" s="263"/>
      <c r="M326" s="280" t="s">
        <v>115</v>
      </c>
      <c r="N326" s="234" t="s">
        <v>419</v>
      </c>
      <c r="O326" s="281">
        <v>44217</v>
      </c>
      <c r="P326" s="275" t="s">
        <v>65</v>
      </c>
      <c r="Q326" s="263" t="s">
        <v>105</v>
      </c>
      <c r="R326" s="233"/>
      <c r="S326" s="282"/>
      <c r="T326" s="265"/>
      <c r="U326" s="265"/>
      <c r="V326" s="266" t="s">
        <v>38</v>
      </c>
      <c r="X326" s="240"/>
      <c r="Y326" s="268"/>
      <c r="Z326" s="240"/>
      <c r="AA326" s="241"/>
    </row>
    <row r="327" spans="1:27" s="267" customFormat="1">
      <c r="A327" s="232">
        <v>319</v>
      </c>
      <c r="B327" s="275" t="s">
        <v>7</v>
      </c>
      <c r="C327" s="275">
        <v>4</v>
      </c>
      <c r="D327" s="276" t="s">
        <v>32</v>
      </c>
      <c r="E327" s="275" t="s">
        <v>26</v>
      </c>
      <c r="F327" s="283">
        <v>82</v>
      </c>
      <c r="G327" s="283">
        <v>3</v>
      </c>
      <c r="H327" s="285">
        <v>11.9</v>
      </c>
      <c r="I327" s="285">
        <v>243</v>
      </c>
      <c r="J327" s="233">
        <v>163</v>
      </c>
      <c r="K327" s="285">
        <v>11.9</v>
      </c>
      <c r="L327" s="263"/>
      <c r="M327" s="280" t="s">
        <v>115</v>
      </c>
      <c r="N327" s="234" t="s">
        <v>419</v>
      </c>
      <c r="O327" s="281">
        <v>44217</v>
      </c>
      <c r="P327" s="275" t="s">
        <v>65</v>
      </c>
      <c r="Q327" s="263" t="s">
        <v>105</v>
      </c>
      <c r="R327" s="233"/>
      <c r="S327" s="282"/>
      <c r="T327" s="265"/>
      <c r="U327" s="265"/>
      <c r="V327" s="266" t="s">
        <v>38</v>
      </c>
      <c r="X327" s="240"/>
      <c r="Y327" s="268"/>
      <c r="Z327" s="240"/>
      <c r="AA327" s="241"/>
    </row>
    <row r="328" spans="1:27" s="267" customFormat="1">
      <c r="A328" s="232">
        <v>320</v>
      </c>
      <c r="B328" s="275" t="s">
        <v>7</v>
      </c>
      <c r="C328" s="275">
        <v>4</v>
      </c>
      <c r="D328" s="276" t="s">
        <v>32</v>
      </c>
      <c r="E328" s="275" t="s">
        <v>26</v>
      </c>
      <c r="F328" s="283">
        <v>83</v>
      </c>
      <c r="G328" s="283">
        <v>2</v>
      </c>
      <c r="H328" s="285">
        <v>3.5</v>
      </c>
      <c r="I328" s="285">
        <v>95</v>
      </c>
      <c r="J328" s="233">
        <v>89</v>
      </c>
      <c r="K328" s="285">
        <v>3.5</v>
      </c>
      <c r="L328" s="263"/>
      <c r="M328" s="280" t="s">
        <v>115</v>
      </c>
      <c r="N328" s="234" t="s">
        <v>419</v>
      </c>
      <c r="O328" s="281">
        <v>44217</v>
      </c>
      <c r="P328" s="275" t="s">
        <v>65</v>
      </c>
      <c r="Q328" s="263" t="s">
        <v>105</v>
      </c>
      <c r="R328" s="233"/>
      <c r="S328" s="282"/>
      <c r="T328" s="265"/>
      <c r="U328" s="265"/>
      <c r="V328" s="266" t="s">
        <v>38</v>
      </c>
      <c r="X328" s="240"/>
      <c r="Y328" s="268"/>
      <c r="Z328" s="240"/>
      <c r="AA328" s="241"/>
    </row>
    <row r="329" spans="1:27" s="267" customFormat="1">
      <c r="A329" s="232">
        <v>321</v>
      </c>
      <c r="B329" s="275" t="s">
        <v>7</v>
      </c>
      <c r="C329" s="275">
        <v>4</v>
      </c>
      <c r="D329" s="276" t="s">
        <v>32</v>
      </c>
      <c r="E329" s="275" t="s">
        <v>26</v>
      </c>
      <c r="F329" s="283">
        <v>84</v>
      </c>
      <c r="G329" s="283">
        <v>4</v>
      </c>
      <c r="H329" s="285">
        <v>1.6</v>
      </c>
      <c r="I329" s="285">
        <v>45</v>
      </c>
      <c r="J329" s="233">
        <v>43</v>
      </c>
      <c r="K329" s="285">
        <v>1.6</v>
      </c>
      <c r="L329" s="263"/>
      <c r="M329" s="280" t="s">
        <v>115</v>
      </c>
      <c r="N329" s="234" t="s">
        <v>419</v>
      </c>
      <c r="O329" s="281">
        <v>44217</v>
      </c>
      <c r="P329" s="275" t="s">
        <v>65</v>
      </c>
      <c r="Q329" s="263" t="s">
        <v>105</v>
      </c>
      <c r="R329" s="233"/>
      <c r="S329" s="282"/>
      <c r="T329" s="265"/>
      <c r="U329" s="265"/>
      <c r="V329" s="266" t="s">
        <v>16</v>
      </c>
      <c r="X329" s="240"/>
      <c r="Y329" s="268"/>
      <c r="Z329" s="240"/>
      <c r="AA329" s="241"/>
    </row>
    <row r="330" spans="1:27" s="267" customFormat="1">
      <c r="A330" s="232">
        <v>322</v>
      </c>
      <c r="B330" s="275" t="s">
        <v>7</v>
      </c>
      <c r="C330" s="275">
        <v>4</v>
      </c>
      <c r="D330" s="276" t="s">
        <v>32</v>
      </c>
      <c r="E330" s="275" t="s">
        <v>26</v>
      </c>
      <c r="F330" s="283">
        <v>88</v>
      </c>
      <c r="G330" s="283">
        <v>8</v>
      </c>
      <c r="H330" s="285">
        <v>2.2999999999999998</v>
      </c>
      <c r="I330" s="285">
        <v>62</v>
      </c>
      <c r="J330" s="233">
        <v>51</v>
      </c>
      <c r="K330" s="285">
        <v>2.2999999999999998</v>
      </c>
      <c r="L330" s="263"/>
      <c r="M330" s="280" t="s">
        <v>115</v>
      </c>
      <c r="N330" s="234" t="s">
        <v>419</v>
      </c>
      <c r="O330" s="281">
        <v>44217</v>
      </c>
      <c r="P330" s="275" t="s">
        <v>65</v>
      </c>
      <c r="Q330" s="263" t="s">
        <v>105</v>
      </c>
      <c r="R330" s="233"/>
      <c r="S330" s="282"/>
      <c r="T330" s="265"/>
      <c r="U330" s="265"/>
      <c r="V330" s="266" t="s">
        <v>38</v>
      </c>
      <c r="X330" s="240"/>
      <c r="Y330" s="268"/>
      <c r="Z330" s="240"/>
      <c r="AA330" s="241"/>
    </row>
    <row r="331" spans="1:27" s="267" customFormat="1">
      <c r="A331" s="232">
        <v>323</v>
      </c>
      <c r="B331" s="275" t="s">
        <v>7</v>
      </c>
      <c r="C331" s="275">
        <v>4</v>
      </c>
      <c r="D331" s="276" t="s">
        <v>32</v>
      </c>
      <c r="E331" s="275" t="s">
        <v>26</v>
      </c>
      <c r="F331" s="283">
        <v>90</v>
      </c>
      <c r="G331" s="283">
        <v>1</v>
      </c>
      <c r="H331" s="285">
        <v>5.6</v>
      </c>
      <c r="I331" s="285">
        <v>39</v>
      </c>
      <c r="J331" s="233">
        <v>34</v>
      </c>
      <c r="K331" s="285">
        <v>5.6</v>
      </c>
      <c r="L331" s="263"/>
      <c r="M331" s="280" t="s">
        <v>115</v>
      </c>
      <c r="N331" s="234" t="s">
        <v>419</v>
      </c>
      <c r="O331" s="281">
        <v>44217</v>
      </c>
      <c r="P331" s="275" t="s">
        <v>65</v>
      </c>
      <c r="Q331" s="263" t="s">
        <v>105</v>
      </c>
      <c r="R331" s="233"/>
      <c r="S331" s="282"/>
      <c r="T331" s="265"/>
      <c r="U331" s="265"/>
      <c r="V331" s="266" t="s">
        <v>38</v>
      </c>
      <c r="X331" s="240"/>
      <c r="Y331" s="268"/>
      <c r="Z331" s="240"/>
      <c r="AA331" s="241"/>
    </row>
    <row r="332" spans="1:27" s="267" customFormat="1" ht="19.5" customHeight="1">
      <c r="A332" s="232">
        <v>324</v>
      </c>
      <c r="B332" s="275" t="s">
        <v>7</v>
      </c>
      <c r="C332" s="275">
        <v>4</v>
      </c>
      <c r="D332" s="276" t="s">
        <v>32</v>
      </c>
      <c r="E332" s="275" t="s">
        <v>26</v>
      </c>
      <c r="F332" s="283">
        <v>105</v>
      </c>
      <c r="G332" s="283">
        <v>4</v>
      </c>
      <c r="H332" s="285">
        <v>1.8</v>
      </c>
      <c r="I332" s="285">
        <v>102</v>
      </c>
      <c r="J332" s="233">
        <v>73</v>
      </c>
      <c r="K332" s="285">
        <v>1.8</v>
      </c>
      <c r="L332" s="263"/>
      <c r="M332" s="280" t="s">
        <v>115</v>
      </c>
      <c r="N332" s="234" t="s">
        <v>419</v>
      </c>
      <c r="O332" s="281">
        <v>44217</v>
      </c>
      <c r="P332" s="275" t="s">
        <v>65</v>
      </c>
      <c r="Q332" s="263" t="s">
        <v>105</v>
      </c>
      <c r="R332" s="233"/>
      <c r="S332" s="282"/>
      <c r="T332" s="265"/>
      <c r="U332" s="265"/>
      <c r="V332" s="266" t="s">
        <v>16</v>
      </c>
      <c r="X332" s="240"/>
      <c r="Y332" s="268"/>
      <c r="Z332" s="240"/>
      <c r="AA332" s="241"/>
    </row>
    <row r="333" spans="1:27" s="267" customFormat="1" ht="19.5" customHeight="1">
      <c r="A333" s="232">
        <v>325</v>
      </c>
      <c r="B333" s="275" t="s">
        <v>7</v>
      </c>
      <c r="C333" s="275">
        <v>4</v>
      </c>
      <c r="D333" s="276" t="s">
        <v>32</v>
      </c>
      <c r="E333" s="275" t="s">
        <v>26</v>
      </c>
      <c r="F333" s="283">
        <v>106</v>
      </c>
      <c r="G333" s="283">
        <v>10</v>
      </c>
      <c r="H333" s="285">
        <v>1.7</v>
      </c>
      <c r="I333" s="285">
        <v>60</v>
      </c>
      <c r="J333" s="233">
        <v>52</v>
      </c>
      <c r="K333" s="285">
        <v>1.7</v>
      </c>
      <c r="L333" s="263"/>
      <c r="M333" s="280" t="s">
        <v>115</v>
      </c>
      <c r="N333" s="234" t="s">
        <v>419</v>
      </c>
      <c r="O333" s="281">
        <v>44217</v>
      </c>
      <c r="P333" s="275" t="s">
        <v>65</v>
      </c>
      <c r="Q333" s="263" t="s">
        <v>105</v>
      </c>
      <c r="R333" s="233"/>
      <c r="S333" s="282"/>
      <c r="T333" s="265"/>
      <c r="U333" s="265"/>
      <c r="V333" s="266" t="s">
        <v>16</v>
      </c>
      <c r="X333" s="240"/>
      <c r="Y333" s="268"/>
      <c r="Z333" s="240"/>
      <c r="AA333" s="241"/>
    </row>
    <row r="334" spans="1:27" s="267" customFormat="1" ht="19.5" customHeight="1">
      <c r="A334" s="232">
        <v>326</v>
      </c>
      <c r="B334" s="275" t="s">
        <v>7</v>
      </c>
      <c r="C334" s="275">
        <v>4</v>
      </c>
      <c r="D334" s="276" t="s">
        <v>32</v>
      </c>
      <c r="E334" s="275" t="s">
        <v>26</v>
      </c>
      <c r="F334" s="283">
        <v>119</v>
      </c>
      <c r="G334" s="283">
        <v>6</v>
      </c>
      <c r="H334" s="285">
        <v>2.8</v>
      </c>
      <c r="I334" s="285">
        <v>80</v>
      </c>
      <c r="J334" s="233">
        <v>75</v>
      </c>
      <c r="K334" s="285">
        <v>2.8</v>
      </c>
      <c r="L334" s="263"/>
      <c r="M334" s="280" t="s">
        <v>115</v>
      </c>
      <c r="N334" s="234" t="s">
        <v>419</v>
      </c>
      <c r="O334" s="281">
        <v>44217</v>
      </c>
      <c r="P334" s="275" t="s">
        <v>65</v>
      </c>
      <c r="Q334" s="263" t="s">
        <v>105</v>
      </c>
      <c r="R334" s="233"/>
      <c r="S334" s="282"/>
      <c r="T334" s="265"/>
      <c r="U334" s="265"/>
      <c r="V334" s="266" t="s">
        <v>16</v>
      </c>
      <c r="X334" s="240"/>
      <c r="Y334" s="268"/>
      <c r="Z334" s="240"/>
      <c r="AA334" s="241"/>
    </row>
    <row r="335" spans="1:27" s="267" customFormat="1" ht="19.5" customHeight="1">
      <c r="A335" s="232">
        <v>327</v>
      </c>
      <c r="B335" s="275" t="s">
        <v>7</v>
      </c>
      <c r="C335" s="275">
        <v>4</v>
      </c>
      <c r="D335" s="276" t="s">
        <v>32</v>
      </c>
      <c r="E335" s="275" t="s">
        <v>26</v>
      </c>
      <c r="F335" s="283">
        <v>119</v>
      </c>
      <c r="G335" s="283">
        <v>13</v>
      </c>
      <c r="H335" s="285">
        <v>0.9</v>
      </c>
      <c r="I335" s="285">
        <v>27</v>
      </c>
      <c r="J335" s="233">
        <v>25</v>
      </c>
      <c r="K335" s="285">
        <v>0.9</v>
      </c>
      <c r="L335" s="263"/>
      <c r="M335" s="280" t="s">
        <v>115</v>
      </c>
      <c r="N335" s="234" t="s">
        <v>419</v>
      </c>
      <c r="O335" s="281">
        <v>44217</v>
      </c>
      <c r="P335" s="275" t="s">
        <v>65</v>
      </c>
      <c r="Q335" s="263" t="s">
        <v>105</v>
      </c>
      <c r="R335" s="233"/>
      <c r="S335" s="282"/>
      <c r="T335" s="265"/>
      <c r="U335" s="265"/>
      <c r="V335" s="266" t="s">
        <v>38</v>
      </c>
      <c r="X335" s="240"/>
      <c r="Y335" s="268"/>
      <c r="Z335" s="240"/>
      <c r="AA335" s="241"/>
    </row>
    <row r="336" spans="1:27" s="267" customFormat="1" ht="19.5" customHeight="1">
      <c r="A336" s="232">
        <v>328</v>
      </c>
      <c r="B336" s="275" t="s">
        <v>7</v>
      </c>
      <c r="C336" s="275">
        <v>4</v>
      </c>
      <c r="D336" s="276" t="s">
        <v>32</v>
      </c>
      <c r="E336" s="275" t="s">
        <v>26</v>
      </c>
      <c r="F336" s="283">
        <v>122</v>
      </c>
      <c r="G336" s="283">
        <v>2</v>
      </c>
      <c r="H336" s="284">
        <v>1</v>
      </c>
      <c r="I336" s="285">
        <v>51</v>
      </c>
      <c r="J336" s="233">
        <v>47</v>
      </c>
      <c r="K336" s="284">
        <v>1</v>
      </c>
      <c r="L336" s="263"/>
      <c r="M336" s="280" t="s">
        <v>115</v>
      </c>
      <c r="N336" s="234" t="s">
        <v>419</v>
      </c>
      <c r="O336" s="281">
        <v>44217</v>
      </c>
      <c r="P336" s="275" t="s">
        <v>65</v>
      </c>
      <c r="Q336" s="263" t="s">
        <v>105</v>
      </c>
      <c r="R336" s="233"/>
      <c r="S336" s="282"/>
      <c r="T336" s="265"/>
      <c r="U336" s="265"/>
      <c r="V336" s="266" t="s">
        <v>38</v>
      </c>
      <c r="X336" s="240"/>
      <c r="Y336" s="268"/>
      <c r="Z336" s="240"/>
      <c r="AA336" s="241"/>
    </row>
    <row r="337" spans="1:27" s="267" customFormat="1" ht="19.5" customHeight="1">
      <c r="A337" s="232">
        <v>329</v>
      </c>
      <c r="B337" s="275" t="s">
        <v>7</v>
      </c>
      <c r="C337" s="275">
        <v>4</v>
      </c>
      <c r="D337" s="276" t="s">
        <v>413</v>
      </c>
      <c r="E337" s="275" t="s">
        <v>28</v>
      </c>
      <c r="F337" s="275">
        <v>119</v>
      </c>
      <c r="G337" s="234" t="s">
        <v>85</v>
      </c>
      <c r="H337" s="277">
        <v>0.8</v>
      </c>
      <c r="I337" s="263">
        <v>1</v>
      </c>
      <c r="J337" s="263"/>
      <c r="K337" s="277">
        <v>0.8</v>
      </c>
      <c r="L337" s="277"/>
      <c r="M337" s="280" t="s">
        <v>115</v>
      </c>
      <c r="N337" s="234" t="s">
        <v>421</v>
      </c>
      <c r="O337" s="281">
        <v>44217</v>
      </c>
      <c r="P337" s="275" t="s">
        <v>65</v>
      </c>
      <c r="Q337" s="263" t="s">
        <v>105</v>
      </c>
      <c r="R337" s="233"/>
      <c r="S337" s="282"/>
      <c r="T337" s="265"/>
      <c r="U337" s="265"/>
      <c r="V337" s="266"/>
      <c r="X337" s="240"/>
      <c r="Y337" s="268"/>
      <c r="Z337" s="240"/>
      <c r="AA337" s="241"/>
    </row>
    <row r="338" spans="1:27" s="267" customFormat="1" ht="19.5" customHeight="1">
      <c r="A338" s="232">
        <v>330</v>
      </c>
      <c r="B338" s="275" t="s">
        <v>7</v>
      </c>
      <c r="C338" s="275">
        <v>4</v>
      </c>
      <c r="D338" s="276" t="s">
        <v>413</v>
      </c>
      <c r="E338" s="275" t="s">
        <v>28</v>
      </c>
      <c r="F338" s="275">
        <v>119</v>
      </c>
      <c r="G338" s="234" t="s">
        <v>73</v>
      </c>
      <c r="H338" s="277">
        <v>1</v>
      </c>
      <c r="I338" s="263">
        <v>9</v>
      </c>
      <c r="J338" s="263"/>
      <c r="K338" s="277">
        <v>1</v>
      </c>
      <c r="L338" s="277"/>
      <c r="M338" s="280" t="s">
        <v>115</v>
      </c>
      <c r="N338" s="234" t="s">
        <v>421</v>
      </c>
      <c r="O338" s="281">
        <v>44217</v>
      </c>
      <c r="P338" s="275" t="s">
        <v>65</v>
      </c>
      <c r="Q338" s="263" t="s">
        <v>105</v>
      </c>
      <c r="R338" s="233"/>
      <c r="S338" s="282"/>
      <c r="T338" s="265"/>
      <c r="U338" s="265"/>
      <c r="V338" s="266"/>
      <c r="X338" s="240"/>
      <c r="Y338" s="268"/>
      <c r="Z338" s="240"/>
      <c r="AA338" s="241"/>
    </row>
    <row r="339" spans="1:27" s="267" customFormat="1" ht="19.5" customHeight="1">
      <c r="A339" s="232">
        <v>331</v>
      </c>
      <c r="B339" s="275" t="s">
        <v>7</v>
      </c>
      <c r="C339" s="275">
        <v>4</v>
      </c>
      <c r="D339" s="276" t="s">
        <v>413</v>
      </c>
      <c r="E339" s="275" t="s">
        <v>28</v>
      </c>
      <c r="F339" s="275">
        <v>119</v>
      </c>
      <c r="G339" s="234" t="s">
        <v>258</v>
      </c>
      <c r="H339" s="277">
        <v>1</v>
      </c>
      <c r="I339" s="263">
        <v>6</v>
      </c>
      <c r="J339" s="263"/>
      <c r="K339" s="277">
        <v>1</v>
      </c>
      <c r="L339" s="277"/>
      <c r="M339" s="280" t="s">
        <v>115</v>
      </c>
      <c r="N339" s="234" t="s">
        <v>421</v>
      </c>
      <c r="O339" s="281">
        <v>44217</v>
      </c>
      <c r="P339" s="275" t="s">
        <v>65</v>
      </c>
      <c r="Q339" s="263" t="s">
        <v>105</v>
      </c>
      <c r="R339" s="233"/>
      <c r="S339" s="282"/>
      <c r="T339" s="265"/>
      <c r="U339" s="265"/>
      <c r="V339" s="266"/>
      <c r="X339" s="240"/>
      <c r="Y339" s="268"/>
      <c r="Z339" s="240"/>
      <c r="AA339" s="241"/>
    </row>
    <row r="340" spans="1:27" s="267" customFormat="1" ht="19.5" customHeight="1">
      <c r="A340" s="232">
        <v>332</v>
      </c>
      <c r="B340" s="275" t="s">
        <v>7</v>
      </c>
      <c r="C340" s="275">
        <v>4</v>
      </c>
      <c r="D340" s="276" t="s">
        <v>413</v>
      </c>
      <c r="E340" s="275" t="s">
        <v>28</v>
      </c>
      <c r="F340" s="275">
        <v>119</v>
      </c>
      <c r="G340" s="234" t="s">
        <v>420</v>
      </c>
      <c r="H340" s="277">
        <v>1</v>
      </c>
      <c r="I340" s="263">
        <v>2</v>
      </c>
      <c r="J340" s="263"/>
      <c r="K340" s="277">
        <v>1</v>
      </c>
      <c r="L340" s="277"/>
      <c r="M340" s="280" t="s">
        <v>115</v>
      </c>
      <c r="N340" s="234" t="s">
        <v>421</v>
      </c>
      <c r="O340" s="281">
        <v>44217</v>
      </c>
      <c r="P340" s="275" t="s">
        <v>65</v>
      </c>
      <c r="Q340" s="263" t="s">
        <v>105</v>
      </c>
      <c r="R340" s="233"/>
      <c r="S340" s="282"/>
      <c r="T340" s="265"/>
      <c r="U340" s="265"/>
      <c r="V340" s="266"/>
      <c r="X340" s="240"/>
      <c r="Y340" s="268"/>
      <c r="Z340" s="240"/>
      <c r="AA340" s="241"/>
    </row>
    <row r="341" spans="1:27" s="267" customFormat="1" ht="19.5" customHeight="1">
      <c r="A341" s="232">
        <v>333</v>
      </c>
      <c r="B341" s="275" t="s">
        <v>7</v>
      </c>
      <c r="C341" s="275">
        <v>4</v>
      </c>
      <c r="D341" s="276" t="s">
        <v>413</v>
      </c>
      <c r="E341" s="275" t="s">
        <v>28</v>
      </c>
      <c r="F341" s="275">
        <v>119</v>
      </c>
      <c r="G341" s="234" t="s">
        <v>68</v>
      </c>
      <c r="H341" s="277">
        <v>1</v>
      </c>
      <c r="I341" s="263">
        <v>2</v>
      </c>
      <c r="J341" s="263"/>
      <c r="K341" s="277">
        <v>1</v>
      </c>
      <c r="L341" s="277"/>
      <c r="M341" s="280" t="s">
        <v>115</v>
      </c>
      <c r="N341" s="234" t="s">
        <v>421</v>
      </c>
      <c r="O341" s="281">
        <v>44217</v>
      </c>
      <c r="P341" s="275" t="s">
        <v>65</v>
      </c>
      <c r="Q341" s="263" t="s">
        <v>105</v>
      </c>
      <c r="R341" s="233"/>
      <c r="S341" s="282"/>
      <c r="T341" s="265"/>
      <c r="U341" s="265"/>
      <c r="V341" s="266"/>
      <c r="X341" s="240"/>
      <c r="Y341" s="268"/>
      <c r="Z341" s="240"/>
      <c r="AA341" s="241"/>
    </row>
    <row r="342" spans="1:27" s="267" customFormat="1" ht="19.5" customHeight="1">
      <c r="A342" s="232">
        <v>334</v>
      </c>
      <c r="B342" s="275" t="s">
        <v>7</v>
      </c>
      <c r="C342" s="275">
        <v>4</v>
      </c>
      <c r="D342" s="276" t="s">
        <v>413</v>
      </c>
      <c r="E342" s="275" t="s">
        <v>28</v>
      </c>
      <c r="F342" s="275">
        <v>119</v>
      </c>
      <c r="G342" s="234" t="s">
        <v>188</v>
      </c>
      <c r="H342" s="277">
        <v>1</v>
      </c>
      <c r="I342" s="263">
        <v>2</v>
      </c>
      <c r="J342" s="263"/>
      <c r="K342" s="277">
        <v>1</v>
      </c>
      <c r="L342" s="277"/>
      <c r="M342" s="280" t="s">
        <v>115</v>
      </c>
      <c r="N342" s="234" t="s">
        <v>421</v>
      </c>
      <c r="O342" s="281">
        <v>44217</v>
      </c>
      <c r="P342" s="275" t="s">
        <v>65</v>
      </c>
      <c r="Q342" s="263" t="s">
        <v>105</v>
      </c>
      <c r="R342" s="233"/>
      <c r="S342" s="282"/>
      <c r="T342" s="265"/>
      <c r="U342" s="265"/>
      <c r="V342" s="266"/>
      <c r="X342" s="240"/>
      <c r="Y342" s="268"/>
      <c r="Z342" s="240"/>
      <c r="AA342" s="241"/>
    </row>
    <row r="343" spans="1:27" s="267" customFormat="1" ht="19.5" customHeight="1">
      <c r="A343" s="232">
        <v>335</v>
      </c>
      <c r="B343" s="275" t="s">
        <v>221</v>
      </c>
      <c r="C343" s="275">
        <v>4</v>
      </c>
      <c r="D343" s="276" t="s">
        <v>31</v>
      </c>
      <c r="E343" s="275" t="s">
        <v>26</v>
      </c>
      <c r="F343" s="275">
        <v>80</v>
      </c>
      <c r="G343" s="234" t="s">
        <v>74</v>
      </c>
      <c r="H343" s="277">
        <v>2.4</v>
      </c>
      <c r="I343" s="263">
        <v>10</v>
      </c>
      <c r="J343" s="263"/>
      <c r="K343" s="277">
        <v>2.4</v>
      </c>
      <c r="L343" s="277"/>
      <c r="M343" s="280" t="s">
        <v>115</v>
      </c>
      <c r="N343" s="234" t="s">
        <v>422</v>
      </c>
      <c r="O343" s="281">
        <v>44211</v>
      </c>
      <c r="P343" s="275" t="s">
        <v>65</v>
      </c>
      <c r="Q343" s="263" t="s">
        <v>47</v>
      </c>
      <c r="R343" s="233"/>
      <c r="S343" s="282"/>
      <c r="T343" s="265"/>
      <c r="U343" s="265"/>
      <c r="V343" s="266" t="s">
        <v>38</v>
      </c>
      <c r="X343" s="240"/>
      <c r="Y343" s="268"/>
      <c r="Z343" s="240"/>
      <c r="AA343" s="241"/>
    </row>
    <row r="344" spans="1:27" s="267" customFormat="1">
      <c r="A344" s="232">
        <v>336</v>
      </c>
      <c r="B344" s="275" t="s">
        <v>221</v>
      </c>
      <c r="C344" s="275">
        <v>4</v>
      </c>
      <c r="D344" s="276" t="s">
        <v>31</v>
      </c>
      <c r="E344" s="275" t="s">
        <v>26</v>
      </c>
      <c r="F344" s="275">
        <v>111</v>
      </c>
      <c r="G344" s="234" t="s">
        <v>79</v>
      </c>
      <c r="H344" s="277">
        <v>3.1</v>
      </c>
      <c r="I344" s="263">
        <v>24</v>
      </c>
      <c r="J344" s="263"/>
      <c r="K344" s="277">
        <v>3.1</v>
      </c>
      <c r="L344" s="277"/>
      <c r="M344" s="280" t="s">
        <v>115</v>
      </c>
      <c r="N344" s="234" t="s">
        <v>422</v>
      </c>
      <c r="O344" s="281">
        <v>44211</v>
      </c>
      <c r="P344" s="275" t="s">
        <v>65</v>
      </c>
      <c r="Q344" s="263" t="s">
        <v>47</v>
      </c>
      <c r="R344" s="233"/>
      <c r="S344" s="282"/>
      <c r="T344" s="265"/>
      <c r="U344" s="265"/>
      <c r="V344" s="266" t="s">
        <v>38</v>
      </c>
      <c r="X344" s="240"/>
      <c r="Y344" s="268"/>
      <c r="Z344" s="240"/>
      <c r="AA344" s="241"/>
    </row>
    <row r="345" spans="1:27" s="267" customFormat="1">
      <c r="A345" s="232">
        <v>337</v>
      </c>
      <c r="B345" s="275" t="s">
        <v>221</v>
      </c>
      <c r="C345" s="275">
        <v>4</v>
      </c>
      <c r="D345" s="276" t="s">
        <v>31</v>
      </c>
      <c r="E345" s="275" t="s">
        <v>28</v>
      </c>
      <c r="F345" s="275">
        <v>113</v>
      </c>
      <c r="G345" s="234" t="s">
        <v>72</v>
      </c>
      <c r="H345" s="277">
        <v>3.1</v>
      </c>
      <c r="I345" s="263">
        <v>44</v>
      </c>
      <c r="J345" s="263"/>
      <c r="K345" s="277">
        <v>3.1</v>
      </c>
      <c r="L345" s="277"/>
      <c r="M345" s="280" t="s">
        <v>115</v>
      </c>
      <c r="N345" s="234" t="s">
        <v>422</v>
      </c>
      <c r="O345" s="281">
        <v>44211</v>
      </c>
      <c r="P345" s="275" t="s">
        <v>65</v>
      </c>
      <c r="Q345" s="263" t="s">
        <v>47</v>
      </c>
      <c r="R345" s="233"/>
      <c r="S345" s="282"/>
      <c r="T345" s="265"/>
      <c r="U345" s="265"/>
      <c r="V345" s="266" t="s">
        <v>38</v>
      </c>
      <c r="X345" s="240"/>
      <c r="Y345" s="268"/>
      <c r="Z345" s="240"/>
      <c r="AA345" s="241"/>
    </row>
    <row r="346" spans="1:27" s="267" customFormat="1">
      <c r="A346" s="232">
        <v>338</v>
      </c>
      <c r="B346" s="275" t="s">
        <v>221</v>
      </c>
      <c r="C346" s="275">
        <v>4</v>
      </c>
      <c r="D346" s="276" t="s">
        <v>31</v>
      </c>
      <c r="E346" s="275" t="s">
        <v>26</v>
      </c>
      <c r="F346" s="275">
        <v>84</v>
      </c>
      <c r="G346" s="234" t="s">
        <v>97</v>
      </c>
      <c r="H346" s="277">
        <v>1.2</v>
      </c>
      <c r="I346" s="263">
        <v>17</v>
      </c>
      <c r="J346" s="263"/>
      <c r="K346" s="277">
        <v>1.2</v>
      </c>
      <c r="L346" s="277"/>
      <c r="M346" s="280" t="s">
        <v>115</v>
      </c>
      <c r="N346" s="234" t="s">
        <v>422</v>
      </c>
      <c r="O346" s="281">
        <v>44211</v>
      </c>
      <c r="P346" s="275" t="s">
        <v>65</v>
      </c>
      <c r="Q346" s="263" t="s">
        <v>47</v>
      </c>
      <c r="R346" s="233"/>
      <c r="S346" s="282"/>
      <c r="T346" s="265"/>
      <c r="U346" s="265"/>
      <c r="V346" s="266" t="s">
        <v>38</v>
      </c>
      <c r="X346" s="240"/>
      <c r="Y346" s="268"/>
      <c r="Z346" s="240"/>
      <c r="AA346" s="241"/>
    </row>
    <row r="347" spans="1:27" s="267" customFormat="1">
      <c r="A347" s="232">
        <v>339</v>
      </c>
      <c r="B347" s="275" t="s">
        <v>221</v>
      </c>
      <c r="C347" s="275">
        <v>4</v>
      </c>
      <c r="D347" s="276" t="s">
        <v>31</v>
      </c>
      <c r="E347" s="275" t="s">
        <v>26</v>
      </c>
      <c r="F347" s="275">
        <v>69</v>
      </c>
      <c r="G347" s="234" t="s">
        <v>67</v>
      </c>
      <c r="H347" s="277">
        <v>4.5999999999999996</v>
      </c>
      <c r="I347" s="263">
        <v>53</v>
      </c>
      <c r="J347" s="263"/>
      <c r="K347" s="277">
        <v>4.5999999999999996</v>
      </c>
      <c r="L347" s="277"/>
      <c r="M347" s="280" t="s">
        <v>115</v>
      </c>
      <c r="N347" s="234" t="s">
        <v>422</v>
      </c>
      <c r="O347" s="281">
        <v>44211</v>
      </c>
      <c r="P347" s="275" t="s">
        <v>65</v>
      </c>
      <c r="Q347" s="263" t="s">
        <v>47</v>
      </c>
      <c r="R347" s="233"/>
      <c r="S347" s="282"/>
      <c r="T347" s="265"/>
      <c r="U347" s="265"/>
      <c r="V347" s="266"/>
      <c r="X347" s="240"/>
      <c r="Y347" s="268"/>
      <c r="Z347" s="240"/>
      <c r="AA347" s="241"/>
    </row>
    <row r="348" spans="1:27" s="267" customFormat="1">
      <c r="A348" s="232">
        <v>340</v>
      </c>
      <c r="B348" s="275" t="s">
        <v>221</v>
      </c>
      <c r="C348" s="275">
        <v>4</v>
      </c>
      <c r="D348" s="276" t="s">
        <v>31</v>
      </c>
      <c r="E348" s="275" t="s">
        <v>26</v>
      </c>
      <c r="F348" s="275">
        <v>97</v>
      </c>
      <c r="G348" s="234" t="s">
        <v>71</v>
      </c>
      <c r="H348" s="277">
        <v>4.5999999999999996</v>
      </c>
      <c r="I348" s="263">
        <v>105</v>
      </c>
      <c r="J348" s="263"/>
      <c r="K348" s="277">
        <v>4.5999999999999996</v>
      </c>
      <c r="L348" s="277"/>
      <c r="M348" s="280" t="s">
        <v>115</v>
      </c>
      <c r="N348" s="234" t="s">
        <v>422</v>
      </c>
      <c r="O348" s="281">
        <v>44211</v>
      </c>
      <c r="P348" s="275" t="s">
        <v>65</v>
      </c>
      <c r="Q348" s="263" t="s">
        <v>47</v>
      </c>
      <c r="R348" s="233"/>
      <c r="S348" s="282"/>
      <c r="T348" s="265"/>
      <c r="U348" s="265"/>
      <c r="V348" s="266"/>
      <c r="X348" s="240"/>
      <c r="Y348" s="268"/>
      <c r="Z348" s="240"/>
      <c r="AA348" s="241"/>
    </row>
    <row r="349" spans="1:27" s="267" customFormat="1">
      <c r="A349" s="232">
        <v>341</v>
      </c>
      <c r="B349" s="275" t="s">
        <v>221</v>
      </c>
      <c r="C349" s="275">
        <v>4</v>
      </c>
      <c r="D349" s="276" t="s">
        <v>23</v>
      </c>
      <c r="E349" s="275" t="s">
        <v>26</v>
      </c>
      <c r="F349" s="275">
        <v>102</v>
      </c>
      <c r="G349" s="234" t="s">
        <v>76</v>
      </c>
      <c r="H349" s="277">
        <v>2.5</v>
      </c>
      <c r="I349" s="263">
        <v>17</v>
      </c>
      <c r="J349" s="263"/>
      <c r="K349" s="277">
        <v>2.5</v>
      </c>
      <c r="L349" s="277"/>
      <c r="M349" s="280" t="s">
        <v>115</v>
      </c>
      <c r="N349" s="234" t="s">
        <v>423</v>
      </c>
      <c r="O349" s="281">
        <v>44211</v>
      </c>
      <c r="P349" s="275" t="s">
        <v>65</v>
      </c>
      <c r="Q349" s="263" t="s">
        <v>47</v>
      </c>
      <c r="R349" s="233"/>
      <c r="S349" s="282"/>
      <c r="T349" s="265"/>
      <c r="U349" s="265"/>
      <c r="V349" s="266"/>
      <c r="X349" s="240"/>
      <c r="Y349" s="268"/>
      <c r="Z349" s="240"/>
      <c r="AA349" s="241"/>
    </row>
    <row r="350" spans="1:27" s="267" customFormat="1">
      <c r="A350" s="232">
        <v>342</v>
      </c>
      <c r="B350" s="275" t="s">
        <v>221</v>
      </c>
      <c r="C350" s="275">
        <v>4</v>
      </c>
      <c r="D350" s="276" t="s">
        <v>23</v>
      </c>
      <c r="E350" s="275" t="s">
        <v>26</v>
      </c>
      <c r="F350" s="275">
        <v>103</v>
      </c>
      <c r="G350" s="234" t="s">
        <v>88</v>
      </c>
      <c r="H350" s="277">
        <v>0.4</v>
      </c>
      <c r="I350" s="263">
        <v>3</v>
      </c>
      <c r="J350" s="263"/>
      <c r="K350" s="277">
        <v>0.4</v>
      </c>
      <c r="L350" s="277"/>
      <c r="M350" s="280" t="s">
        <v>115</v>
      </c>
      <c r="N350" s="234" t="s">
        <v>423</v>
      </c>
      <c r="O350" s="281">
        <v>44211</v>
      </c>
      <c r="P350" s="275" t="s">
        <v>65</v>
      </c>
      <c r="Q350" s="263" t="s">
        <v>47</v>
      </c>
      <c r="R350" s="233"/>
      <c r="S350" s="282"/>
      <c r="T350" s="265"/>
      <c r="U350" s="265"/>
      <c r="V350" s="266"/>
      <c r="X350" s="240"/>
      <c r="Y350" s="268"/>
      <c r="Z350" s="240"/>
      <c r="AA350" s="241"/>
    </row>
    <row r="351" spans="1:27" s="267" customFormat="1">
      <c r="A351" s="232">
        <v>343</v>
      </c>
      <c r="B351" s="275" t="s">
        <v>221</v>
      </c>
      <c r="C351" s="275">
        <v>4</v>
      </c>
      <c r="D351" s="276" t="s">
        <v>23</v>
      </c>
      <c r="E351" s="275" t="s">
        <v>26</v>
      </c>
      <c r="F351" s="275">
        <v>103</v>
      </c>
      <c r="G351" s="234" t="s">
        <v>82</v>
      </c>
      <c r="H351" s="277">
        <v>0.7</v>
      </c>
      <c r="I351" s="263">
        <v>4</v>
      </c>
      <c r="J351" s="263"/>
      <c r="K351" s="277">
        <v>0.7</v>
      </c>
      <c r="L351" s="277"/>
      <c r="M351" s="280" t="s">
        <v>115</v>
      </c>
      <c r="N351" s="234" t="s">
        <v>423</v>
      </c>
      <c r="O351" s="281">
        <v>44211</v>
      </c>
      <c r="P351" s="275" t="s">
        <v>65</v>
      </c>
      <c r="Q351" s="263" t="s">
        <v>47</v>
      </c>
      <c r="R351" s="233"/>
      <c r="S351" s="282"/>
      <c r="T351" s="265"/>
      <c r="U351" s="265"/>
      <c r="V351" s="266"/>
      <c r="X351" s="240"/>
      <c r="Y351" s="268"/>
      <c r="Z351" s="240"/>
      <c r="AA351" s="241"/>
    </row>
    <row r="352" spans="1:27" s="267" customFormat="1">
      <c r="A352" s="232">
        <v>344</v>
      </c>
      <c r="B352" s="275" t="s">
        <v>221</v>
      </c>
      <c r="C352" s="275">
        <v>4</v>
      </c>
      <c r="D352" s="276" t="s">
        <v>23</v>
      </c>
      <c r="E352" s="275" t="s">
        <v>197</v>
      </c>
      <c r="F352" s="275">
        <v>56</v>
      </c>
      <c r="G352" s="234" t="s">
        <v>74</v>
      </c>
      <c r="H352" s="277">
        <v>0.9</v>
      </c>
      <c r="I352" s="263">
        <v>6</v>
      </c>
      <c r="J352" s="263"/>
      <c r="K352" s="277">
        <v>0.9</v>
      </c>
      <c r="L352" s="277"/>
      <c r="M352" s="280" t="s">
        <v>115</v>
      </c>
      <c r="N352" s="234" t="s">
        <v>423</v>
      </c>
      <c r="O352" s="281">
        <v>44211</v>
      </c>
      <c r="P352" s="275" t="s">
        <v>65</v>
      </c>
      <c r="Q352" s="263" t="s">
        <v>47</v>
      </c>
      <c r="R352" s="233"/>
      <c r="S352" s="282"/>
      <c r="T352" s="265"/>
      <c r="U352" s="265"/>
      <c r="V352" s="266"/>
      <c r="X352" s="240"/>
      <c r="Y352" s="268"/>
      <c r="Z352" s="240"/>
      <c r="AA352" s="241"/>
    </row>
    <row r="353" spans="1:27" s="267" customFormat="1">
      <c r="A353" s="232">
        <v>345</v>
      </c>
      <c r="B353" s="275" t="s">
        <v>221</v>
      </c>
      <c r="C353" s="275">
        <v>4</v>
      </c>
      <c r="D353" s="276" t="s">
        <v>23</v>
      </c>
      <c r="E353" s="275" t="s">
        <v>26</v>
      </c>
      <c r="F353" s="275">
        <v>81</v>
      </c>
      <c r="G353" s="234" t="s">
        <v>69</v>
      </c>
      <c r="H353" s="277">
        <v>3.8</v>
      </c>
      <c r="I353" s="263">
        <v>24</v>
      </c>
      <c r="J353" s="263"/>
      <c r="K353" s="277">
        <v>3.8</v>
      </c>
      <c r="L353" s="277"/>
      <c r="M353" s="280" t="s">
        <v>115</v>
      </c>
      <c r="N353" s="234" t="s">
        <v>423</v>
      </c>
      <c r="O353" s="281">
        <v>44211</v>
      </c>
      <c r="P353" s="275" t="s">
        <v>65</v>
      </c>
      <c r="Q353" s="263" t="s">
        <v>47</v>
      </c>
      <c r="R353" s="233"/>
      <c r="S353" s="282"/>
      <c r="T353" s="265"/>
      <c r="U353" s="265"/>
      <c r="V353" s="266"/>
      <c r="X353" s="240"/>
      <c r="Y353" s="268"/>
      <c r="Z353" s="240"/>
      <c r="AA353" s="241"/>
    </row>
    <row r="354" spans="1:27" s="267" customFormat="1">
      <c r="A354" s="232">
        <v>346</v>
      </c>
      <c r="B354" s="275" t="s">
        <v>221</v>
      </c>
      <c r="C354" s="275">
        <v>4</v>
      </c>
      <c r="D354" s="276" t="s">
        <v>23</v>
      </c>
      <c r="E354" s="275" t="s">
        <v>26</v>
      </c>
      <c r="F354" s="275">
        <v>94</v>
      </c>
      <c r="G354" s="234" t="s">
        <v>74</v>
      </c>
      <c r="H354" s="277">
        <v>2.1</v>
      </c>
      <c r="I354" s="263">
        <v>32</v>
      </c>
      <c r="J354" s="263"/>
      <c r="K354" s="277">
        <v>2.1</v>
      </c>
      <c r="L354" s="277"/>
      <c r="M354" s="280" t="s">
        <v>115</v>
      </c>
      <c r="N354" s="234" t="s">
        <v>423</v>
      </c>
      <c r="O354" s="281">
        <v>44211</v>
      </c>
      <c r="P354" s="275" t="s">
        <v>65</v>
      </c>
      <c r="Q354" s="263" t="s">
        <v>47</v>
      </c>
      <c r="R354" s="233"/>
      <c r="S354" s="282"/>
      <c r="T354" s="265"/>
      <c r="U354" s="265"/>
      <c r="V354" s="266"/>
      <c r="X354" s="240"/>
      <c r="Y354" s="268"/>
      <c r="Z354" s="240"/>
      <c r="AA354" s="241"/>
    </row>
    <row r="355" spans="1:27" s="267" customFormat="1">
      <c r="A355" s="232">
        <v>347</v>
      </c>
      <c r="B355" s="275" t="s">
        <v>221</v>
      </c>
      <c r="C355" s="275">
        <v>4</v>
      </c>
      <c r="D355" s="276" t="s">
        <v>23</v>
      </c>
      <c r="E355" s="275" t="s">
        <v>26</v>
      </c>
      <c r="F355" s="275">
        <v>94</v>
      </c>
      <c r="G355" s="234" t="s">
        <v>75</v>
      </c>
      <c r="H355" s="277">
        <v>2.7</v>
      </c>
      <c r="I355" s="263">
        <v>25</v>
      </c>
      <c r="J355" s="263"/>
      <c r="K355" s="277">
        <v>2.7</v>
      </c>
      <c r="L355" s="277"/>
      <c r="M355" s="280" t="s">
        <v>115</v>
      </c>
      <c r="N355" s="234" t="s">
        <v>423</v>
      </c>
      <c r="O355" s="281">
        <v>44211</v>
      </c>
      <c r="P355" s="275" t="s">
        <v>65</v>
      </c>
      <c r="Q355" s="263" t="s">
        <v>47</v>
      </c>
      <c r="R355" s="233"/>
      <c r="S355" s="282"/>
      <c r="T355" s="265"/>
      <c r="U355" s="265"/>
      <c r="V355" s="266"/>
      <c r="X355" s="240"/>
      <c r="Y355" s="268"/>
      <c r="Z355" s="240"/>
      <c r="AA355" s="241"/>
    </row>
    <row r="356" spans="1:27" s="267" customFormat="1">
      <c r="A356" s="232">
        <v>348</v>
      </c>
      <c r="B356" s="275" t="s">
        <v>221</v>
      </c>
      <c r="C356" s="275">
        <v>4</v>
      </c>
      <c r="D356" s="276" t="s">
        <v>23</v>
      </c>
      <c r="E356" s="275" t="s">
        <v>26</v>
      </c>
      <c r="F356" s="275">
        <v>97</v>
      </c>
      <c r="G356" s="234" t="s">
        <v>69</v>
      </c>
      <c r="H356" s="277">
        <v>4.5999999999999996</v>
      </c>
      <c r="I356" s="263">
        <v>72</v>
      </c>
      <c r="J356" s="263"/>
      <c r="K356" s="277">
        <v>4.5999999999999996</v>
      </c>
      <c r="L356" s="277"/>
      <c r="M356" s="280" t="s">
        <v>115</v>
      </c>
      <c r="N356" s="234" t="s">
        <v>423</v>
      </c>
      <c r="O356" s="281">
        <v>44211</v>
      </c>
      <c r="P356" s="275" t="s">
        <v>65</v>
      </c>
      <c r="Q356" s="263" t="s">
        <v>47</v>
      </c>
      <c r="R356" s="233"/>
      <c r="S356" s="282"/>
      <c r="T356" s="265"/>
      <c r="U356" s="265"/>
      <c r="V356" s="266"/>
      <c r="X356" s="240"/>
      <c r="Y356" s="268"/>
      <c r="Z356" s="240"/>
      <c r="AA356" s="241"/>
    </row>
    <row r="357" spans="1:27" s="267" customFormat="1">
      <c r="A357" s="232">
        <v>349</v>
      </c>
      <c r="B357" s="275" t="s">
        <v>221</v>
      </c>
      <c r="C357" s="275">
        <v>4</v>
      </c>
      <c r="D357" s="276" t="s">
        <v>23</v>
      </c>
      <c r="E357" s="275" t="s">
        <v>28</v>
      </c>
      <c r="F357" s="275">
        <v>52</v>
      </c>
      <c r="G357" s="234" t="s">
        <v>74</v>
      </c>
      <c r="H357" s="277">
        <v>6.8</v>
      </c>
      <c r="I357" s="263">
        <v>108</v>
      </c>
      <c r="J357" s="263">
        <v>93</v>
      </c>
      <c r="K357" s="277">
        <v>6.8</v>
      </c>
      <c r="L357" s="277"/>
      <c r="M357" s="280" t="s">
        <v>115</v>
      </c>
      <c r="N357" s="234" t="s">
        <v>423</v>
      </c>
      <c r="O357" s="281">
        <v>44211</v>
      </c>
      <c r="P357" s="275" t="s">
        <v>65</v>
      </c>
      <c r="Q357" s="263" t="s">
        <v>47</v>
      </c>
      <c r="R357" s="233"/>
      <c r="S357" s="282"/>
      <c r="T357" s="265"/>
      <c r="U357" s="265"/>
      <c r="V357" s="266"/>
      <c r="X357" s="240"/>
      <c r="Y357" s="268"/>
      <c r="Z357" s="240"/>
      <c r="AA357" s="241"/>
    </row>
    <row r="358" spans="1:27" s="267" customFormat="1">
      <c r="A358" s="232">
        <v>350</v>
      </c>
      <c r="B358" s="275" t="s">
        <v>221</v>
      </c>
      <c r="C358" s="275">
        <v>4</v>
      </c>
      <c r="D358" s="276" t="s">
        <v>22</v>
      </c>
      <c r="E358" s="275" t="s">
        <v>26</v>
      </c>
      <c r="F358" s="275">
        <v>70</v>
      </c>
      <c r="G358" s="234" t="s">
        <v>424</v>
      </c>
      <c r="H358" s="277">
        <v>5</v>
      </c>
      <c r="I358" s="263">
        <v>203</v>
      </c>
      <c r="J358" s="263">
        <v>166</v>
      </c>
      <c r="K358" s="277">
        <v>5</v>
      </c>
      <c r="L358" s="277"/>
      <c r="M358" s="280" t="s">
        <v>115</v>
      </c>
      <c r="N358" s="234" t="s">
        <v>389</v>
      </c>
      <c r="O358" s="281">
        <v>44211</v>
      </c>
      <c r="P358" s="275" t="s">
        <v>65</v>
      </c>
      <c r="Q358" s="263" t="s">
        <v>47</v>
      </c>
      <c r="R358" s="233"/>
      <c r="S358" s="282"/>
      <c r="T358" s="265"/>
      <c r="U358" s="265"/>
      <c r="V358" s="266"/>
      <c r="X358" s="240"/>
      <c r="Y358" s="268"/>
      <c r="Z358" s="240"/>
      <c r="AA358" s="241"/>
    </row>
    <row r="359" spans="1:27" s="267" customFormat="1">
      <c r="A359" s="232">
        <v>351</v>
      </c>
      <c r="B359" s="275" t="s">
        <v>221</v>
      </c>
      <c r="C359" s="275">
        <v>4</v>
      </c>
      <c r="D359" s="276" t="s">
        <v>32</v>
      </c>
      <c r="E359" s="275" t="s">
        <v>26</v>
      </c>
      <c r="F359" s="275">
        <v>100</v>
      </c>
      <c r="G359" s="234" t="s">
        <v>71</v>
      </c>
      <c r="H359" s="277">
        <v>6.2</v>
      </c>
      <c r="I359" s="263">
        <v>96</v>
      </c>
      <c r="J359" s="263">
        <v>84</v>
      </c>
      <c r="K359" s="277">
        <v>6.2</v>
      </c>
      <c r="L359" s="263"/>
      <c r="M359" s="280" t="s">
        <v>115</v>
      </c>
      <c r="N359" s="234" t="s">
        <v>425</v>
      </c>
      <c r="O359" s="281">
        <v>44217</v>
      </c>
      <c r="P359" s="275" t="s">
        <v>65</v>
      </c>
      <c r="Q359" s="263" t="s">
        <v>47</v>
      </c>
      <c r="R359" s="233"/>
      <c r="S359" s="282"/>
      <c r="T359" s="265"/>
      <c r="U359" s="265"/>
      <c r="V359" s="266" t="s">
        <v>40</v>
      </c>
      <c r="X359" s="240"/>
      <c r="Y359" s="268"/>
      <c r="Z359" s="240"/>
      <c r="AA359" s="241"/>
    </row>
    <row r="360" spans="1:27" s="267" customFormat="1">
      <c r="A360" s="232">
        <v>352</v>
      </c>
      <c r="B360" s="275" t="s">
        <v>221</v>
      </c>
      <c r="C360" s="275">
        <v>4</v>
      </c>
      <c r="D360" s="276" t="s">
        <v>32</v>
      </c>
      <c r="E360" s="275" t="s">
        <v>129</v>
      </c>
      <c r="F360" s="275">
        <v>114</v>
      </c>
      <c r="G360" s="234" t="s">
        <v>127</v>
      </c>
      <c r="H360" s="277">
        <v>0.4</v>
      </c>
      <c r="I360" s="263">
        <v>20</v>
      </c>
      <c r="J360" s="263">
        <v>17</v>
      </c>
      <c r="K360" s="277">
        <v>0.4</v>
      </c>
      <c r="L360" s="263"/>
      <c r="M360" s="280" t="s">
        <v>115</v>
      </c>
      <c r="N360" s="234" t="s">
        <v>425</v>
      </c>
      <c r="O360" s="281">
        <v>44217</v>
      </c>
      <c r="P360" s="275" t="s">
        <v>65</v>
      </c>
      <c r="Q360" s="263" t="s">
        <v>47</v>
      </c>
      <c r="R360" s="233"/>
      <c r="S360" s="282"/>
      <c r="T360" s="265"/>
      <c r="U360" s="265"/>
      <c r="V360" s="266" t="s">
        <v>40</v>
      </c>
      <c r="X360" s="240"/>
      <c r="Y360" s="268"/>
      <c r="Z360" s="240"/>
      <c r="AA360" s="241"/>
    </row>
    <row r="361" spans="1:27" s="267" customFormat="1">
      <c r="A361" s="232">
        <v>353</v>
      </c>
      <c r="B361" s="275" t="s">
        <v>221</v>
      </c>
      <c r="C361" s="275">
        <v>3</v>
      </c>
      <c r="D361" s="276" t="s">
        <v>32</v>
      </c>
      <c r="E361" s="275" t="s">
        <v>28</v>
      </c>
      <c r="F361" s="275">
        <v>118</v>
      </c>
      <c r="G361" s="234" t="s">
        <v>67</v>
      </c>
      <c r="H361" s="277">
        <v>0.7</v>
      </c>
      <c r="I361" s="263">
        <v>14</v>
      </c>
      <c r="J361" s="263">
        <v>8</v>
      </c>
      <c r="K361" s="277">
        <v>0.7</v>
      </c>
      <c r="L361" s="263"/>
      <c r="M361" s="280" t="s">
        <v>115</v>
      </c>
      <c r="N361" s="234" t="s">
        <v>425</v>
      </c>
      <c r="O361" s="281">
        <v>44217</v>
      </c>
      <c r="P361" s="275" t="s">
        <v>65</v>
      </c>
      <c r="Q361" s="263" t="s">
        <v>47</v>
      </c>
      <c r="R361" s="233"/>
      <c r="S361" s="282"/>
      <c r="T361" s="265"/>
      <c r="U361" s="265"/>
      <c r="V361" s="266" t="s">
        <v>41</v>
      </c>
      <c r="X361" s="240"/>
      <c r="Y361" s="268"/>
      <c r="Z361" s="240"/>
      <c r="AA361" s="241"/>
    </row>
    <row r="362" spans="1:27" s="267" customFormat="1">
      <c r="A362" s="232">
        <v>354</v>
      </c>
      <c r="B362" s="275" t="s">
        <v>221</v>
      </c>
      <c r="C362" s="275">
        <v>3</v>
      </c>
      <c r="D362" s="276" t="s">
        <v>32</v>
      </c>
      <c r="E362" s="275" t="s">
        <v>28</v>
      </c>
      <c r="F362" s="275">
        <v>118</v>
      </c>
      <c r="G362" s="234" t="s">
        <v>85</v>
      </c>
      <c r="H362" s="277">
        <v>0.6</v>
      </c>
      <c r="I362" s="263">
        <v>29</v>
      </c>
      <c r="J362" s="263">
        <v>12</v>
      </c>
      <c r="K362" s="277">
        <v>0.6</v>
      </c>
      <c r="L362" s="263"/>
      <c r="M362" s="280" t="s">
        <v>115</v>
      </c>
      <c r="N362" s="234" t="s">
        <v>425</v>
      </c>
      <c r="O362" s="281">
        <v>44217</v>
      </c>
      <c r="P362" s="275" t="s">
        <v>65</v>
      </c>
      <c r="Q362" s="263" t="s">
        <v>47</v>
      </c>
      <c r="R362" s="233"/>
      <c r="S362" s="282"/>
      <c r="T362" s="265"/>
      <c r="U362" s="265"/>
      <c r="V362" s="266" t="s">
        <v>57</v>
      </c>
      <c r="X362" s="240"/>
      <c r="Y362" s="268"/>
      <c r="Z362" s="240"/>
      <c r="AA362" s="241"/>
    </row>
    <row r="363" spans="1:27" s="267" customFormat="1">
      <c r="A363" s="232">
        <v>355</v>
      </c>
      <c r="B363" s="275" t="s">
        <v>221</v>
      </c>
      <c r="C363" s="275">
        <v>4</v>
      </c>
      <c r="D363" s="276" t="s">
        <v>32</v>
      </c>
      <c r="E363" s="275" t="s">
        <v>28</v>
      </c>
      <c r="F363" s="275">
        <v>51</v>
      </c>
      <c r="G363" s="234" t="s">
        <v>67</v>
      </c>
      <c r="H363" s="277">
        <v>1</v>
      </c>
      <c r="I363" s="263">
        <v>21</v>
      </c>
      <c r="J363" s="263">
        <v>17</v>
      </c>
      <c r="K363" s="277">
        <v>1</v>
      </c>
      <c r="L363" s="263"/>
      <c r="M363" s="280" t="s">
        <v>115</v>
      </c>
      <c r="N363" s="234" t="s">
        <v>425</v>
      </c>
      <c r="O363" s="281">
        <v>44217</v>
      </c>
      <c r="P363" s="275" t="s">
        <v>65</v>
      </c>
      <c r="Q363" s="263" t="s">
        <v>47</v>
      </c>
      <c r="R363" s="233"/>
      <c r="S363" s="282"/>
      <c r="T363" s="265"/>
      <c r="U363" s="265"/>
      <c r="V363" s="266" t="s">
        <v>39</v>
      </c>
      <c r="X363" s="240"/>
      <c r="Y363" s="268"/>
      <c r="Z363" s="240"/>
      <c r="AA363" s="241"/>
    </row>
    <row r="364" spans="1:27" s="267" customFormat="1">
      <c r="A364" s="232">
        <v>356</v>
      </c>
      <c r="B364" s="275" t="s">
        <v>221</v>
      </c>
      <c r="C364" s="275">
        <v>4</v>
      </c>
      <c r="D364" s="276" t="s">
        <v>32</v>
      </c>
      <c r="E364" s="275" t="s">
        <v>28</v>
      </c>
      <c r="F364" s="275">
        <v>53</v>
      </c>
      <c r="G364" s="234" t="s">
        <v>77</v>
      </c>
      <c r="H364" s="277">
        <v>0.7</v>
      </c>
      <c r="I364" s="263">
        <v>10</v>
      </c>
      <c r="J364" s="263">
        <v>8</v>
      </c>
      <c r="K364" s="277">
        <v>0.7</v>
      </c>
      <c r="L364" s="263"/>
      <c r="M364" s="280" t="s">
        <v>115</v>
      </c>
      <c r="N364" s="234" t="s">
        <v>425</v>
      </c>
      <c r="O364" s="281">
        <v>44217</v>
      </c>
      <c r="P364" s="275" t="s">
        <v>65</v>
      </c>
      <c r="Q364" s="263" t="s">
        <v>47</v>
      </c>
      <c r="R364" s="233"/>
      <c r="S364" s="282"/>
      <c r="T364" s="265"/>
      <c r="U364" s="265"/>
      <c r="V364" s="266" t="s">
        <v>40</v>
      </c>
      <c r="X364" s="240"/>
      <c r="Y364" s="268"/>
      <c r="Z364" s="240"/>
      <c r="AA364" s="241"/>
    </row>
    <row r="365" spans="1:27" s="267" customFormat="1">
      <c r="A365" s="232">
        <v>357</v>
      </c>
      <c r="B365" s="275" t="s">
        <v>221</v>
      </c>
      <c r="C365" s="275">
        <v>4</v>
      </c>
      <c r="D365" s="276" t="s">
        <v>32</v>
      </c>
      <c r="E365" s="275" t="s">
        <v>28</v>
      </c>
      <c r="F365" s="275">
        <v>53</v>
      </c>
      <c r="G365" s="234" t="s">
        <v>72</v>
      </c>
      <c r="H365" s="277">
        <v>2.2999999999999998</v>
      </c>
      <c r="I365" s="263">
        <v>52</v>
      </c>
      <c r="J365" s="263">
        <v>37</v>
      </c>
      <c r="K365" s="277">
        <v>2.2999999999999998</v>
      </c>
      <c r="L365" s="263"/>
      <c r="M365" s="280" t="s">
        <v>115</v>
      </c>
      <c r="N365" s="234" t="s">
        <v>425</v>
      </c>
      <c r="O365" s="281">
        <v>44217</v>
      </c>
      <c r="P365" s="275" t="s">
        <v>65</v>
      </c>
      <c r="Q365" s="263" t="s">
        <v>47</v>
      </c>
      <c r="R365" s="233"/>
      <c r="S365" s="282"/>
      <c r="T365" s="265"/>
      <c r="U365" s="265"/>
      <c r="V365" s="266" t="s">
        <v>40</v>
      </c>
      <c r="X365" s="240"/>
      <c r="Y365" s="268"/>
      <c r="Z365" s="240"/>
      <c r="AA365" s="241"/>
    </row>
    <row r="366" spans="1:27" s="267" customFormat="1">
      <c r="A366" s="232">
        <v>358</v>
      </c>
      <c r="B366" s="275" t="s">
        <v>221</v>
      </c>
      <c r="C366" s="275">
        <v>4</v>
      </c>
      <c r="D366" s="276" t="s">
        <v>32</v>
      </c>
      <c r="E366" s="275" t="s">
        <v>28</v>
      </c>
      <c r="F366" s="275">
        <v>53</v>
      </c>
      <c r="G366" s="234" t="s">
        <v>68</v>
      </c>
      <c r="H366" s="277">
        <v>1.4</v>
      </c>
      <c r="I366" s="263">
        <v>65</v>
      </c>
      <c r="J366" s="263">
        <v>42</v>
      </c>
      <c r="K366" s="277">
        <v>1.4</v>
      </c>
      <c r="L366" s="263"/>
      <c r="M366" s="280" t="s">
        <v>115</v>
      </c>
      <c r="N366" s="234" t="s">
        <v>425</v>
      </c>
      <c r="O366" s="281">
        <v>44217</v>
      </c>
      <c r="P366" s="275" t="s">
        <v>65</v>
      </c>
      <c r="Q366" s="263" t="s">
        <v>47</v>
      </c>
      <c r="R366" s="233"/>
      <c r="S366" s="282"/>
      <c r="T366" s="265"/>
      <c r="U366" s="265"/>
      <c r="V366" s="266" t="s">
        <v>40</v>
      </c>
      <c r="X366" s="240"/>
      <c r="Y366" s="268"/>
      <c r="Z366" s="240"/>
      <c r="AA366" s="241"/>
    </row>
    <row r="367" spans="1:27" s="267" customFormat="1">
      <c r="A367" s="232">
        <v>359</v>
      </c>
      <c r="B367" s="275" t="s">
        <v>221</v>
      </c>
      <c r="C367" s="275">
        <v>4</v>
      </c>
      <c r="D367" s="276" t="s">
        <v>32</v>
      </c>
      <c r="E367" s="275" t="s">
        <v>26</v>
      </c>
      <c r="F367" s="275">
        <v>54</v>
      </c>
      <c r="G367" s="234" t="s">
        <v>67</v>
      </c>
      <c r="H367" s="277">
        <v>3.4</v>
      </c>
      <c r="I367" s="263">
        <v>238</v>
      </c>
      <c r="J367" s="263">
        <v>108</v>
      </c>
      <c r="K367" s="277">
        <v>3.4</v>
      </c>
      <c r="L367" s="263"/>
      <c r="M367" s="280" t="s">
        <v>115</v>
      </c>
      <c r="N367" s="234" t="s">
        <v>425</v>
      </c>
      <c r="O367" s="281">
        <v>44217</v>
      </c>
      <c r="P367" s="275" t="s">
        <v>65</v>
      </c>
      <c r="Q367" s="263" t="s">
        <v>47</v>
      </c>
      <c r="R367" s="233"/>
      <c r="S367" s="282"/>
      <c r="T367" s="265"/>
      <c r="U367" s="265"/>
      <c r="V367" s="266" t="s">
        <v>58</v>
      </c>
      <c r="X367" s="240"/>
      <c r="Y367" s="268"/>
      <c r="Z367" s="240"/>
      <c r="AA367" s="241"/>
    </row>
    <row r="368" spans="1:27" s="267" customFormat="1">
      <c r="A368" s="232">
        <v>360</v>
      </c>
      <c r="B368" s="275" t="s">
        <v>221</v>
      </c>
      <c r="C368" s="275">
        <v>4</v>
      </c>
      <c r="D368" s="276" t="s">
        <v>32</v>
      </c>
      <c r="E368" s="275" t="s">
        <v>26</v>
      </c>
      <c r="F368" s="275">
        <v>56</v>
      </c>
      <c r="G368" s="234" t="s">
        <v>84</v>
      </c>
      <c r="H368" s="277">
        <v>1.8</v>
      </c>
      <c r="I368" s="263">
        <v>12</v>
      </c>
      <c r="J368" s="263">
        <v>11</v>
      </c>
      <c r="K368" s="277">
        <v>1.8</v>
      </c>
      <c r="L368" s="263"/>
      <c r="M368" s="280" t="s">
        <v>115</v>
      </c>
      <c r="N368" s="234" t="s">
        <v>425</v>
      </c>
      <c r="O368" s="281">
        <v>44217</v>
      </c>
      <c r="P368" s="275" t="s">
        <v>65</v>
      </c>
      <c r="Q368" s="263" t="s">
        <v>47</v>
      </c>
      <c r="R368" s="233"/>
      <c r="S368" s="282"/>
      <c r="T368" s="265"/>
      <c r="U368" s="265"/>
      <c r="V368" s="266" t="s">
        <v>40</v>
      </c>
      <c r="X368" s="240"/>
      <c r="Y368" s="268"/>
      <c r="Z368" s="240"/>
      <c r="AA368" s="241"/>
    </row>
    <row r="369" spans="1:27" s="267" customFormat="1">
      <c r="A369" s="232">
        <v>361</v>
      </c>
      <c r="B369" s="275" t="s">
        <v>221</v>
      </c>
      <c r="C369" s="275">
        <v>4</v>
      </c>
      <c r="D369" s="276" t="s">
        <v>32</v>
      </c>
      <c r="E369" s="275" t="s">
        <v>28</v>
      </c>
      <c r="F369" s="275">
        <v>70</v>
      </c>
      <c r="G369" s="234" t="s">
        <v>72</v>
      </c>
      <c r="H369" s="277">
        <v>1.5</v>
      </c>
      <c r="I369" s="263">
        <v>24</v>
      </c>
      <c r="J369" s="263">
        <v>17</v>
      </c>
      <c r="K369" s="277">
        <v>1.5</v>
      </c>
      <c r="L369" s="263"/>
      <c r="M369" s="280" t="s">
        <v>115</v>
      </c>
      <c r="N369" s="234" t="s">
        <v>425</v>
      </c>
      <c r="O369" s="281">
        <v>44217</v>
      </c>
      <c r="P369" s="275" t="s">
        <v>65</v>
      </c>
      <c r="Q369" s="263" t="s">
        <v>47</v>
      </c>
      <c r="R369" s="233"/>
      <c r="S369" s="282"/>
      <c r="T369" s="265"/>
      <c r="U369" s="265"/>
      <c r="V369" s="266" t="s">
        <v>40</v>
      </c>
      <c r="X369" s="240"/>
      <c r="Y369" s="268"/>
      <c r="Z369" s="240"/>
      <c r="AA369" s="241"/>
    </row>
    <row r="370" spans="1:27" s="267" customFormat="1">
      <c r="A370" s="232">
        <v>362</v>
      </c>
      <c r="B370" s="275" t="s">
        <v>221</v>
      </c>
      <c r="C370" s="275">
        <v>3</v>
      </c>
      <c r="D370" s="276" t="s">
        <v>32</v>
      </c>
      <c r="E370" s="275" t="s">
        <v>28</v>
      </c>
      <c r="F370" s="275">
        <v>79</v>
      </c>
      <c r="G370" s="234" t="s">
        <v>67</v>
      </c>
      <c r="H370" s="277">
        <v>1.1000000000000001</v>
      </c>
      <c r="I370" s="263">
        <v>26</v>
      </c>
      <c r="J370" s="263">
        <v>24</v>
      </c>
      <c r="K370" s="277">
        <v>1.1000000000000001</v>
      </c>
      <c r="L370" s="263"/>
      <c r="M370" s="280" t="s">
        <v>115</v>
      </c>
      <c r="N370" s="234" t="s">
        <v>425</v>
      </c>
      <c r="O370" s="281">
        <v>44217</v>
      </c>
      <c r="P370" s="275" t="s">
        <v>65</v>
      </c>
      <c r="Q370" s="263" t="s">
        <v>47</v>
      </c>
      <c r="R370" s="233"/>
      <c r="S370" s="282"/>
      <c r="T370" s="265"/>
      <c r="U370" s="265"/>
      <c r="V370" s="266" t="s">
        <v>59</v>
      </c>
      <c r="X370" s="240"/>
      <c r="Y370" s="268"/>
      <c r="Z370" s="240"/>
      <c r="AA370" s="241"/>
    </row>
    <row r="371" spans="1:27" s="267" customFormat="1">
      <c r="A371" s="232">
        <v>363</v>
      </c>
      <c r="B371" s="275" t="s">
        <v>221</v>
      </c>
      <c r="C371" s="275">
        <v>3</v>
      </c>
      <c r="D371" s="276" t="s">
        <v>32</v>
      </c>
      <c r="E371" s="275" t="s">
        <v>28</v>
      </c>
      <c r="F371" s="275">
        <v>79</v>
      </c>
      <c r="G371" s="234" t="s">
        <v>85</v>
      </c>
      <c r="H371" s="277">
        <v>1.3</v>
      </c>
      <c r="I371" s="263">
        <v>67</v>
      </c>
      <c r="J371" s="263">
        <v>53</v>
      </c>
      <c r="K371" s="277">
        <v>1.3</v>
      </c>
      <c r="L371" s="263"/>
      <c r="M371" s="280" t="s">
        <v>115</v>
      </c>
      <c r="N371" s="234" t="s">
        <v>425</v>
      </c>
      <c r="O371" s="281">
        <v>44217</v>
      </c>
      <c r="P371" s="275" t="s">
        <v>65</v>
      </c>
      <c r="Q371" s="263" t="s">
        <v>47</v>
      </c>
      <c r="R371" s="233"/>
      <c r="S371" s="282"/>
      <c r="T371" s="265"/>
      <c r="U371" s="265"/>
      <c r="V371" s="266" t="s">
        <v>59</v>
      </c>
      <c r="X371" s="240"/>
      <c r="Y371" s="268"/>
      <c r="Z371" s="240"/>
      <c r="AA371" s="241"/>
    </row>
    <row r="372" spans="1:27" s="267" customFormat="1" ht="28.15" customHeight="1">
      <c r="A372" s="232">
        <v>364</v>
      </c>
      <c r="B372" s="275" t="s">
        <v>221</v>
      </c>
      <c r="C372" s="275">
        <v>4</v>
      </c>
      <c r="D372" s="276" t="s">
        <v>32</v>
      </c>
      <c r="E372" s="275" t="s">
        <v>28</v>
      </c>
      <c r="F372" s="275">
        <v>85</v>
      </c>
      <c r="G372" s="234" t="s">
        <v>69</v>
      </c>
      <c r="H372" s="277">
        <v>16.2</v>
      </c>
      <c r="I372" s="263">
        <v>100</v>
      </c>
      <c r="J372" s="263">
        <v>89</v>
      </c>
      <c r="K372" s="277">
        <v>16.2</v>
      </c>
      <c r="L372" s="277"/>
      <c r="M372" s="280" t="s">
        <v>115</v>
      </c>
      <c r="N372" s="234" t="s">
        <v>425</v>
      </c>
      <c r="O372" s="281">
        <v>44217</v>
      </c>
      <c r="P372" s="275" t="s">
        <v>65</v>
      </c>
      <c r="Q372" s="263" t="s">
        <v>47</v>
      </c>
      <c r="R372" s="233"/>
      <c r="S372" s="282"/>
      <c r="T372" s="265"/>
      <c r="U372" s="265"/>
      <c r="V372" s="266" t="s">
        <v>39</v>
      </c>
      <c r="X372" s="240"/>
      <c r="Y372" s="268"/>
      <c r="Z372" s="240"/>
      <c r="AA372" s="241"/>
    </row>
    <row r="373" spans="1:27" s="267" customFormat="1">
      <c r="A373" s="232">
        <v>365</v>
      </c>
      <c r="B373" s="275" t="s">
        <v>221</v>
      </c>
      <c r="C373" s="275">
        <v>4</v>
      </c>
      <c r="D373" s="276" t="s">
        <v>32</v>
      </c>
      <c r="E373" s="275" t="s">
        <v>28</v>
      </c>
      <c r="F373" s="275">
        <v>86</v>
      </c>
      <c r="G373" s="234" t="s">
        <v>69</v>
      </c>
      <c r="H373" s="277">
        <v>3.5</v>
      </c>
      <c r="I373" s="263">
        <v>58</v>
      </c>
      <c r="J373" s="263">
        <v>37</v>
      </c>
      <c r="K373" s="277">
        <v>3.5</v>
      </c>
      <c r="L373" s="277"/>
      <c r="M373" s="280" t="s">
        <v>115</v>
      </c>
      <c r="N373" s="234" t="s">
        <v>425</v>
      </c>
      <c r="O373" s="281">
        <v>44217</v>
      </c>
      <c r="P373" s="275" t="s">
        <v>65</v>
      </c>
      <c r="Q373" s="263" t="s">
        <v>47</v>
      </c>
      <c r="R373" s="233"/>
      <c r="S373" s="282"/>
      <c r="T373" s="265"/>
      <c r="U373" s="265"/>
      <c r="V373" s="266" t="s">
        <v>39</v>
      </c>
      <c r="X373" s="240"/>
      <c r="Y373" s="268"/>
      <c r="Z373" s="240"/>
      <c r="AA373" s="241"/>
    </row>
    <row r="374" spans="1:27" s="267" customFormat="1">
      <c r="A374" s="232">
        <v>366</v>
      </c>
      <c r="B374" s="275" t="s">
        <v>221</v>
      </c>
      <c r="C374" s="275">
        <v>3</v>
      </c>
      <c r="D374" s="276" t="s">
        <v>32</v>
      </c>
      <c r="E374" s="275" t="s">
        <v>28</v>
      </c>
      <c r="F374" s="275">
        <v>91</v>
      </c>
      <c r="G374" s="234" t="s">
        <v>71</v>
      </c>
      <c r="H374" s="277">
        <v>2.4</v>
      </c>
      <c r="I374" s="263">
        <v>34</v>
      </c>
      <c r="J374" s="263">
        <v>31</v>
      </c>
      <c r="K374" s="277">
        <v>2.4</v>
      </c>
      <c r="L374" s="277"/>
      <c r="M374" s="280" t="s">
        <v>115</v>
      </c>
      <c r="N374" s="234" t="s">
        <v>425</v>
      </c>
      <c r="O374" s="281">
        <v>44217</v>
      </c>
      <c r="P374" s="275" t="s">
        <v>65</v>
      </c>
      <c r="Q374" s="263" t="s">
        <v>47</v>
      </c>
      <c r="R374" s="233"/>
      <c r="S374" s="282"/>
      <c r="T374" s="265"/>
      <c r="U374" s="265"/>
      <c r="V374" s="266" t="s">
        <v>39</v>
      </c>
      <c r="X374" s="240"/>
      <c r="Y374" s="268"/>
      <c r="Z374" s="240"/>
      <c r="AA374" s="241"/>
    </row>
    <row r="375" spans="1:27" s="267" customFormat="1">
      <c r="A375" s="232">
        <v>367</v>
      </c>
      <c r="B375" s="275" t="s">
        <v>221</v>
      </c>
      <c r="C375" s="275">
        <v>4</v>
      </c>
      <c r="D375" s="276" t="s">
        <v>32</v>
      </c>
      <c r="E375" s="275" t="s">
        <v>28</v>
      </c>
      <c r="F375" s="275">
        <v>91</v>
      </c>
      <c r="G375" s="234" t="s">
        <v>84</v>
      </c>
      <c r="H375" s="277">
        <v>0.7</v>
      </c>
      <c r="I375" s="263">
        <v>10</v>
      </c>
      <c r="J375" s="263">
        <v>9</v>
      </c>
      <c r="K375" s="277">
        <v>0.7</v>
      </c>
      <c r="L375" s="277"/>
      <c r="M375" s="280" t="s">
        <v>115</v>
      </c>
      <c r="N375" s="234" t="s">
        <v>425</v>
      </c>
      <c r="O375" s="281">
        <v>44217</v>
      </c>
      <c r="P375" s="275" t="s">
        <v>65</v>
      </c>
      <c r="Q375" s="263" t="s">
        <v>47</v>
      </c>
      <c r="R375" s="233"/>
      <c r="S375" s="282"/>
      <c r="T375" s="265"/>
      <c r="U375" s="265"/>
      <c r="V375" s="266" t="s">
        <v>39</v>
      </c>
      <c r="X375" s="240"/>
      <c r="Y375" s="268"/>
      <c r="Z375" s="240"/>
      <c r="AA375" s="241"/>
    </row>
    <row r="376" spans="1:27" s="267" customFormat="1">
      <c r="A376" s="232">
        <v>368</v>
      </c>
      <c r="B376" s="275" t="s">
        <v>221</v>
      </c>
      <c r="C376" s="275">
        <v>3</v>
      </c>
      <c r="D376" s="276" t="s">
        <v>32</v>
      </c>
      <c r="E376" s="275" t="s">
        <v>28</v>
      </c>
      <c r="F376" s="275">
        <v>91</v>
      </c>
      <c r="G376" s="234" t="s">
        <v>69</v>
      </c>
      <c r="H376" s="277">
        <v>0.9</v>
      </c>
      <c r="I376" s="263">
        <v>16</v>
      </c>
      <c r="J376" s="263">
        <v>15</v>
      </c>
      <c r="K376" s="277">
        <v>0.9</v>
      </c>
      <c r="L376" s="277"/>
      <c r="M376" s="280" t="s">
        <v>115</v>
      </c>
      <c r="N376" s="234" t="s">
        <v>425</v>
      </c>
      <c r="O376" s="281">
        <v>44217</v>
      </c>
      <c r="P376" s="275" t="s">
        <v>65</v>
      </c>
      <c r="Q376" s="263" t="s">
        <v>47</v>
      </c>
      <c r="R376" s="233"/>
      <c r="S376" s="282"/>
      <c r="T376" s="265"/>
      <c r="U376" s="265"/>
      <c r="V376" s="266" t="s">
        <v>39</v>
      </c>
      <c r="X376" s="240"/>
      <c r="Y376" s="268"/>
      <c r="Z376" s="240"/>
      <c r="AA376" s="241"/>
    </row>
    <row r="377" spans="1:27" s="267" customFormat="1">
      <c r="A377" s="232">
        <v>369</v>
      </c>
      <c r="B377" s="275" t="s">
        <v>221</v>
      </c>
      <c r="C377" s="275">
        <v>3</v>
      </c>
      <c r="D377" s="276" t="s">
        <v>32</v>
      </c>
      <c r="E377" s="275" t="s">
        <v>28</v>
      </c>
      <c r="F377" s="275">
        <v>91</v>
      </c>
      <c r="G377" s="234" t="s">
        <v>74</v>
      </c>
      <c r="H377" s="277">
        <v>0.4</v>
      </c>
      <c r="I377" s="263">
        <v>12</v>
      </c>
      <c r="J377" s="263">
        <v>11</v>
      </c>
      <c r="K377" s="277">
        <v>0.4</v>
      </c>
      <c r="L377" s="277"/>
      <c r="M377" s="280" t="s">
        <v>115</v>
      </c>
      <c r="N377" s="234" t="s">
        <v>425</v>
      </c>
      <c r="O377" s="281">
        <v>44217</v>
      </c>
      <c r="P377" s="275" t="s">
        <v>65</v>
      </c>
      <c r="Q377" s="263" t="s">
        <v>47</v>
      </c>
      <c r="R377" s="233"/>
      <c r="S377" s="282"/>
      <c r="T377" s="265"/>
      <c r="U377" s="265"/>
      <c r="V377" s="266" t="s">
        <v>39</v>
      </c>
      <c r="X377" s="240"/>
      <c r="Y377" s="268"/>
      <c r="Z377" s="240"/>
      <c r="AA377" s="241"/>
    </row>
    <row r="378" spans="1:27" s="267" customFormat="1">
      <c r="A378" s="232">
        <v>370</v>
      </c>
      <c r="B378" s="275" t="s">
        <v>221</v>
      </c>
      <c r="C378" s="275">
        <v>4</v>
      </c>
      <c r="D378" s="276" t="s">
        <v>32</v>
      </c>
      <c r="E378" s="275" t="s">
        <v>26</v>
      </c>
      <c r="F378" s="275">
        <v>96</v>
      </c>
      <c r="G378" s="234" t="s">
        <v>71</v>
      </c>
      <c r="H378" s="277">
        <v>5.6</v>
      </c>
      <c r="I378" s="263">
        <v>103</v>
      </c>
      <c r="J378" s="263">
        <v>84</v>
      </c>
      <c r="K378" s="277">
        <v>5.6</v>
      </c>
      <c r="L378" s="277"/>
      <c r="M378" s="280" t="s">
        <v>115</v>
      </c>
      <c r="N378" s="234" t="s">
        <v>425</v>
      </c>
      <c r="O378" s="281">
        <v>44217</v>
      </c>
      <c r="P378" s="275" t="s">
        <v>65</v>
      </c>
      <c r="Q378" s="263" t="s">
        <v>47</v>
      </c>
      <c r="R378" s="233"/>
      <c r="S378" s="282"/>
      <c r="T378" s="265"/>
      <c r="U378" s="265"/>
      <c r="V378" s="266" t="s">
        <v>39</v>
      </c>
      <c r="X378" s="240"/>
      <c r="Y378" s="268"/>
      <c r="Z378" s="240"/>
      <c r="AA378" s="241"/>
    </row>
    <row r="379" spans="1:27" s="267" customFormat="1">
      <c r="A379" s="232">
        <v>371</v>
      </c>
      <c r="B379" s="275" t="s">
        <v>221</v>
      </c>
      <c r="C379" s="275">
        <v>4</v>
      </c>
      <c r="D379" s="276" t="s">
        <v>32</v>
      </c>
      <c r="E379" s="275" t="s">
        <v>28</v>
      </c>
      <c r="F379" s="275">
        <v>98</v>
      </c>
      <c r="G379" s="234" t="s">
        <v>67</v>
      </c>
      <c r="H379" s="277">
        <v>3.8</v>
      </c>
      <c r="I379" s="263">
        <v>180</v>
      </c>
      <c r="J379" s="263">
        <v>158</v>
      </c>
      <c r="K379" s="277">
        <v>3.8</v>
      </c>
      <c r="L379" s="277"/>
      <c r="M379" s="280" t="s">
        <v>115</v>
      </c>
      <c r="N379" s="234" t="s">
        <v>425</v>
      </c>
      <c r="O379" s="281">
        <v>44217</v>
      </c>
      <c r="P379" s="275" t="s">
        <v>65</v>
      </c>
      <c r="Q379" s="263" t="s">
        <v>47</v>
      </c>
      <c r="R379" s="233"/>
      <c r="S379" s="282"/>
      <c r="T379" s="265"/>
      <c r="U379" s="265"/>
      <c r="V379" s="266" t="s">
        <v>39</v>
      </c>
      <c r="X379" s="240"/>
      <c r="Y379" s="268"/>
      <c r="Z379" s="240"/>
      <c r="AA379" s="241"/>
    </row>
    <row r="380" spans="1:27" s="267" customFormat="1">
      <c r="A380" s="232">
        <v>372</v>
      </c>
      <c r="B380" s="275" t="s">
        <v>221</v>
      </c>
      <c r="C380" s="275">
        <v>3</v>
      </c>
      <c r="D380" s="276" t="s">
        <v>32</v>
      </c>
      <c r="E380" s="275" t="s">
        <v>28</v>
      </c>
      <c r="F380" s="275">
        <v>91</v>
      </c>
      <c r="G380" s="234" t="s">
        <v>72</v>
      </c>
      <c r="H380" s="277">
        <v>3.4</v>
      </c>
      <c r="I380" s="263">
        <v>48</v>
      </c>
      <c r="J380" s="263">
        <v>42</v>
      </c>
      <c r="K380" s="277">
        <v>3.4</v>
      </c>
      <c r="L380" s="277"/>
      <c r="M380" s="280" t="s">
        <v>115</v>
      </c>
      <c r="N380" s="234" t="s">
        <v>425</v>
      </c>
      <c r="O380" s="281">
        <v>44217</v>
      </c>
      <c r="P380" s="275" t="s">
        <v>65</v>
      </c>
      <c r="Q380" s="263" t="s">
        <v>47</v>
      </c>
      <c r="R380" s="233"/>
      <c r="S380" s="282"/>
      <c r="T380" s="265"/>
      <c r="U380" s="265"/>
      <c r="V380" s="266" t="s">
        <v>39</v>
      </c>
      <c r="X380" s="240"/>
      <c r="Y380" s="268"/>
      <c r="Z380" s="240"/>
      <c r="AA380" s="241"/>
    </row>
    <row r="381" spans="1:27" s="267" customFormat="1">
      <c r="A381" s="232">
        <v>373</v>
      </c>
      <c r="B381" s="275" t="s">
        <v>221</v>
      </c>
      <c r="C381" s="275">
        <v>4</v>
      </c>
      <c r="D381" s="276" t="s">
        <v>32</v>
      </c>
      <c r="E381" s="275" t="s">
        <v>28</v>
      </c>
      <c r="F381" s="275">
        <v>55</v>
      </c>
      <c r="G381" s="234" t="s">
        <v>84</v>
      </c>
      <c r="H381" s="277">
        <v>0.4</v>
      </c>
      <c r="I381" s="263">
        <v>1</v>
      </c>
      <c r="J381" s="263">
        <v>1</v>
      </c>
      <c r="K381" s="277">
        <v>0.4</v>
      </c>
      <c r="L381" s="277"/>
      <c r="M381" s="280" t="s">
        <v>115</v>
      </c>
      <c r="N381" s="234" t="s">
        <v>494</v>
      </c>
      <c r="O381" s="281" t="s">
        <v>495</v>
      </c>
      <c r="P381" s="275" t="s">
        <v>65</v>
      </c>
      <c r="Q381" s="263" t="s">
        <v>47</v>
      </c>
      <c r="R381" s="233"/>
      <c r="S381" s="282"/>
      <c r="T381" s="265"/>
      <c r="U381" s="265"/>
      <c r="V381" s="266"/>
      <c r="X381" s="240"/>
      <c r="Y381" s="268"/>
      <c r="Z381" s="240"/>
      <c r="AA381" s="241"/>
    </row>
    <row r="382" spans="1:27" s="267" customFormat="1">
      <c r="A382" s="232">
        <v>374</v>
      </c>
      <c r="B382" s="275" t="s">
        <v>221</v>
      </c>
      <c r="C382" s="275"/>
      <c r="D382" s="276" t="s">
        <v>483</v>
      </c>
      <c r="E382" s="275" t="s">
        <v>26</v>
      </c>
      <c r="F382" s="275">
        <v>113</v>
      </c>
      <c r="G382" s="234" t="s">
        <v>68</v>
      </c>
      <c r="H382" s="277">
        <v>1.5</v>
      </c>
      <c r="I382" s="263">
        <v>7</v>
      </c>
      <c r="J382" s="263">
        <v>6</v>
      </c>
      <c r="K382" s="277"/>
      <c r="L382" s="277">
        <v>1.5</v>
      </c>
      <c r="M382" s="280" t="s">
        <v>115</v>
      </c>
      <c r="N382" s="234" t="s">
        <v>484</v>
      </c>
      <c r="O382" s="281">
        <v>44459</v>
      </c>
      <c r="P382" s="275" t="s">
        <v>65</v>
      </c>
      <c r="Q382" s="263" t="s">
        <v>47</v>
      </c>
      <c r="R382" s="233"/>
      <c r="S382" s="282"/>
      <c r="T382" s="265"/>
      <c r="U382" s="265"/>
      <c r="V382" s="266"/>
      <c r="X382" s="240"/>
      <c r="Y382" s="268"/>
      <c r="Z382" s="240"/>
      <c r="AA382" s="241"/>
    </row>
    <row r="383" spans="1:27" s="267" customFormat="1">
      <c r="A383" s="232">
        <v>375</v>
      </c>
      <c r="B383" s="275" t="s">
        <v>221</v>
      </c>
      <c r="C383" s="275"/>
      <c r="D383" s="276" t="s">
        <v>483</v>
      </c>
      <c r="E383" s="275" t="s">
        <v>26</v>
      </c>
      <c r="F383" s="275">
        <v>54</v>
      </c>
      <c r="G383" s="234" t="s">
        <v>79</v>
      </c>
      <c r="H383" s="277">
        <v>3.2</v>
      </c>
      <c r="I383" s="263">
        <v>5</v>
      </c>
      <c r="J383" s="263">
        <v>5</v>
      </c>
      <c r="K383" s="277"/>
      <c r="L383" s="277">
        <v>3.2</v>
      </c>
      <c r="M383" s="280" t="s">
        <v>115</v>
      </c>
      <c r="N383" s="234" t="s">
        <v>484</v>
      </c>
      <c r="O383" s="281">
        <v>44459</v>
      </c>
      <c r="P383" s="275" t="s">
        <v>65</v>
      </c>
      <c r="Q383" s="263" t="s">
        <v>47</v>
      </c>
      <c r="R383" s="233"/>
      <c r="S383" s="282"/>
      <c r="T383" s="265"/>
      <c r="U383" s="265"/>
      <c r="V383" s="266"/>
      <c r="X383" s="240"/>
      <c r="Y383" s="268"/>
      <c r="Z383" s="240"/>
      <c r="AA383" s="241"/>
    </row>
    <row r="384" spans="1:27" s="267" customFormat="1">
      <c r="A384" s="232">
        <v>376</v>
      </c>
      <c r="B384" s="275" t="s">
        <v>221</v>
      </c>
      <c r="C384" s="275"/>
      <c r="D384" s="276" t="s">
        <v>483</v>
      </c>
      <c r="E384" s="275" t="s">
        <v>26</v>
      </c>
      <c r="F384" s="275">
        <v>66</v>
      </c>
      <c r="G384" s="234" t="s">
        <v>68</v>
      </c>
      <c r="H384" s="277">
        <v>2.9</v>
      </c>
      <c r="I384" s="263">
        <v>5</v>
      </c>
      <c r="J384" s="263">
        <v>5</v>
      </c>
      <c r="K384" s="277"/>
      <c r="L384" s="277">
        <v>2.9</v>
      </c>
      <c r="M384" s="280" t="s">
        <v>115</v>
      </c>
      <c r="N384" s="234" t="s">
        <v>484</v>
      </c>
      <c r="O384" s="281">
        <v>44459</v>
      </c>
      <c r="P384" s="275" t="s">
        <v>65</v>
      </c>
      <c r="Q384" s="263" t="s">
        <v>47</v>
      </c>
      <c r="R384" s="233"/>
      <c r="S384" s="282"/>
      <c r="T384" s="265"/>
      <c r="U384" s="265"/>
      <c r="V384" s="266"/>
      <c r="X384" s="240"/>
      <c r="Y384" s="268"/>
      <c r="Z384" s="240"/>
      <c r="AA384" s="241"/>
    </row>
    <row r="385" spans="1:27" s="267" customFormat="1">
      <c r="A385" s="232">
        <v>377</v>
      </c>
      <c r="B385" s="275" t="s">
        <v>225</v>
      </c>
      <c r="C385" s="275">
        <v>4</v>
      </c>
      <c r="D385" s="276" t="s">
        <v>31</v>
      </c>
      <c r="E385" s="275" t="s">
        <v>26</v>
      </c>
      <c r="F385" s="275">
        <v>21</v>
      </c>
      <c r="G385" s="234" t="s">
        <v>79</v>
      </c>
      <c r="H385" s="277">
        <v>1.7</v>
      </c>
      <c r="I385" s="263">
        <v>15</v>
      </c>
      <c r="J385" s="263"/>
      <c r="K385" s="277">
        <v>1.7</v>
      </c>
      <c r="L385" s="277"/>
      <c r="M385" s="280" t="s">
        <v>115</v>
      </c>
      <c r="N385" s="234" t="s">
        <v>426</v>
      </c>
      <c r="O385" s="281">
        <v>44217</v>
      </c>
      <c r="P385" s="275" t="s">
        <v>65</v>
      </c>
      <c r="Q385" s="263" t="s">
        <v>47</v>
      </c>
      <c r="R385" s="233"/>
      <c r="S385" s="282"/>
      <c r="T385" s="265"/>
      <c r="U385" s="265"/>
      <c r="V385" s="266" t="s">
        <v>41</v>
      </c>
      <c r="X385" s="240"/>
      <c r="Y385" s="268"/>
      <c r="Z385" s="240"/>
      <c r="AA385" s="241"/>
    </row>
    <row r="386" spans="1:27" s="267" customFormat="1">
      <c r="A386" s="232">
        <v>378</v>
      </c>
      <c r="B386" s="275" t="s">
        <v>225</v>
      </c>
      <c r="C386" s="275">
        <v>4</v>
      </c>
      <c r="D386" s="276" t="s">
        <v>226</v>
      </c>
      <c r="E386" s="275" t="s">
        <v>28</v>
      </c>
      <c r="F386" s="275">
        <v>34</v>
      </c>
      <c r="G386" s="234" t="s">
        <v>82</v>
      </c>
      <c r="H386" s="277">
        <v>0.7</v>
      </c>
      <c r="I386" s="263">
        <v>5</v>
      </c>
      <c r="J386" s="263"/>
      <c r="K386" s="277">
        <v>0.7</v>
      </c>
      <c r="L386" s="277"/>
      <c r="M386" s="280" t="s">
        <v>115</v>
      </c>
      <c r="N386" s="234" t="s">
        <v>426</v>
      </c>
      <c r="O386" s="281">
        <v>44217</v>
      </c>
      <c r="P386" s="275" t="s">
        <v>65</v>
      </c>
      <c r="Q386" s="263" t="s">
        <v>47</v>
      </c>
      <c r="R386" s="233"/>
      <c r="S386" s="282"/>
      <c r="T386" s="265"/>
      <c r="U386" s="265"/>
      <c r="V386" s="266" t="s">
        <v>41</v>
      </c>
      <c r="X386" s="240"/>
      <c r="Y386" s="268"/>
      <c r="Z386" s="240"/>
      <c r="AA386" s="241"/>
    </row>
    <row r="387" spans="1:27" s="267" customFormat="1">
      <c r="A387" s="232">
        <v>379</v>
      </c>
      <c r="B387" s="275" t="s">
        <v>225</v>
      </c>
      <c r="C387" s="275">
        <v>4</v>
      </c>
      <c r="D387" s="276" t="s">
        <v>31</v>
      </c>
      <c r="E387" s="275" t="s">
        <v>28</v>
      </c>
      <c r="F387" s="275">
        <v>34</v>
      </c>
      <c r="G387" s="234" t="s">
        <v>69</v>
      </c>
      <c r="H387" s="277">
        <v>0.2</v>
      </c>
      <c r="I387" s="263">
        <v>1</v>
      </c>
      <c r="J387" s="263"/>
      <c r="K387" s="277">
        <v>0.2</v>
      </c>
      <c r="L387" s="277"/>
      <c r="M387" s="280" t="s">
        <v>115</v>
      </c>
      <c r="N387" s="234" t="s">
        <v>426</v>
      </c>
      <c r="O387" s="281">
        <v>44217</v>
      </c>
      <c r="P387" s="275" t="s">
        <v>65</v>
      </c>
      <c r="Q387" s="263" t="s">
        <v>47</v>
      </c>
      <c r="R387" s="233"/>
      <c r="S387" s="282"/>
      <c r="T387" s="265"/>
      <c r="U387" s="265"/>
      <c r="V387" s="266" t="s">
        <v>41</v>
      </c>
      <c r="X387" s="240"/>
      <c r="Y387" s="268"/>
      <c r="Z387" s="240"/>
      <c r="AA387" s="241"/>
    </row>
    <row r="388" spans="1:27" s="268" customFormat="1">
      <c r="A388" s="232">
        <v>380</v>
      </c>
      <c r="B388" s="275" t="s">
        <v>225</v>
      </c>
      <c r="C388" s="275">
        <v>4</v>
      </c>
      <c r="D388" s="276" t="s">
        <v>31</v>
      </c>
      <c r="E388" s="275" t="s">
        <v>26</v>
      </c>
      <c r="F388" s="275">
        <v>40</v>
      </c>
      <c r="G388" s="234" t="s">
        <v>89</v>
      </c>
      <c r="H388" s="277">
        <v>1</v>
      </c>
      <c r="I388" s="263">
        <v>15</v>
      </c>
      <c r="J388" s="263"/>
      <c r="K388" s="277">
        <v>1</v>
      </c>
      <c r="L388" s="277"/>
      <c r="M388" s="280" t="s">
        <v>115</v>
      </c>
      <c r="N388" s="234" t="s">
        <v>426</v>
      </c>
      <c r="O388" s="281">
        <v>44217</v>
      </c>
      <c r="P388" s="275" t="s">
        <v>65</v>
      </c>
      <c r="Q388" s="263" t="s">
        <v>47</v>
      </c>
      <c r="R388" s="233"/>
      <c r="S388" s="282"/>
      <c r="T388" s="265"/>
      <c r="U388" s="265"/>
      <c r="V388" s="266"/>
      <c r="W388" s="267"/>
      <c r="X388" s="240"/>
      <c r="Z388" s="240"/>
      <c r="AA388" s="241"/>
    </row>
    <row r="389" spans="1:27" s="268" customFormat="1">
      <c r="A389" s="232">
        <v>381</v>
      </c>
      <c r="B389" s="275" t="s">
        <v>225</v>
      </c>
      <c r="C389" s="275">
        <v>4</v>
      </c>
      <c r="D389" s="276" t="s">
        <v>31</v>
      </c>
      <c r="E389" s="275" t="s">
        <v>28</v>
      </c>
      <c r="F389" s="275">
        <v>9</v>
      </c>
      <c r="G389" s="234" t="s">
        <v>82</v>
      </c>
      <c r="H389" s="277">
        <v>1.5</v>
      </c>
      <c r="I389" s="263">
        <v>18</v>
      </c>
      <c r="J389" s="263"/>
      <c r="K389" s="277">
        <v>1.5</v>
      </c>
      <c r="L389" s="277"/>
      <c r="M389" s="280" t="s">
        <v>115</v>
      </c>
      <c r="N389" s="234" t="s">
        <v>426</v>
      </c>
      <c r="O389" s="281">
        <v>44217</v>
      </c>
      <c r="P389" s="275" t="s">
        <v>65</v>
      </c>
      <c r="Q389" s="263" t="s">
        <v>47</v>
      </c>
      <c r="R389" s="233"/>
      <c r="S389" s="282"/>
      <c r="T389" s="265"/>
      <c r="U389" s="265"/>
      <c r="V389" s="266"/>
      <c r="W389" s="267"/>
      <c r="X389" s="240"/>
      <c r="Z389" s="240"/>
      <c r="AA389" s="241"/>
    </row>
    <row r="390" spans="1:27" s="268" customFormat="1">
      <c r="A390" s="232">
        <v>382</v>
      </c>
      <c r="B390" s="275" t="s">
        <v>225</v>
      </c>
      <c r="C390" s="275">
        <v>4</v>
      </c>
      <c r="D390" s="276" t="s">
        <v>31</v>
      </c>
      <c r="E390" s="275" t="s">
        <v>26</v>
      </c>
      <c r="F390" s="275">
        <v>122</v>
      </c>
      <c r="G390" s="234" t="s">
        <v>73</v>
      </c>
      <c r="H390" s="277">
        <v>1.8</v>
      </c>
      <c r="I390" s="263">
        <v>11</v>
      </c>
      <c r="J390" s="263"/>
      <c r="K390" s="277">
        <v>1.8</v>
      </c>
      <c r="L390" s="277"/>
      <c r="M390" s="280" t="s">
        <v>115</v>
      </c>
      <c r="N390" s="234" t="s">
        <v>426</v>
      </c>
      <c r="O390" s="281">
        <v>44217</v>
      </c>
      <c r="P390" s="275" t="s">
        <v>65</v>
      </c>
      <c r="Q390" s="263" t="s">
        <v>47</v>
      </c>
      <c r="R390" s="233"/>
      <c r="S390" s="282"/>
      <c r="T390" s="265"/>
      <c r="U390" s="265"/>
      <c r="V390" s="266"/>
      <c r="W390" s="267"/>
      <c r="X390" s="240"/>
      <c r="Z390" s="240"/>
      <c r="AA390" s="241"/>
    </row>
    <row r="391" spans="1:27" s="268" customFormat="1">
      <c r="A391" s="232">
        <v>383</v>
      </c>
      <c r="B391" s="275" t="s">
        <v>225</v>
      </c>
      <c r="C391" s="275">
        <v>4</v>
      </c>
      <c r="D391" s="276" t="s">
        <v>31</v>
      </c>
      <c r="E391" s="275" t="s">
        <v>26</v>
      </c>
      <c r="F391" s="275">
        <v>124</v>
      </c>
      <c r="G391" s="234" t="s">
        <v>87</v>
      </c>
      <c r="H391" s="277">
        <v>0.5</v>
      </c>
      <c r="I391" s="263">
        <v>3</v>
      </c>
      <c r="J391" s="263"/>
      <c r="K391" s="277">
        <v>0.5</v>
      </c>
      <c r="L391" s="277"/>
      <c r="M391" s="280" t="s">
        <v>115</v>
      </c>
      <c r="N391" s="234" t="s">
        <v>426</v>
      </c>
      <c r="O391" s="281">
        <v>44217</v>
      </c>
      <c r="P391" s="275" t="s">
        <v>65</v>
      </c>
      <c r="Q391" s="263" t="s">
        <v>47</v>
      </c>
      <c r="R391" s="233"/>
      <c r="S391" s="282"/>
      <c r="T391" s="265"/>
      <c r="U391" s="265"/>
      <c r="V391" s="266" t="s">
        <v>39</v>
      </c>
      <c r="W391" s="267"/>
      <c r="X391" s="241"/>
      <c r="Z391" s="240"/>
      <c r="AA391" s="241"/>
    </row>
    <row r="392" spans="1:27" s="268" customFormat="1">
      <c r="A392" s="232">
        <v>384</v>
      </c>
      <c r="B392" s="275" t="s">
        <v>225</v>
      </c>
      <c r="C392" s="275">
        <v>4</v>
      </c>
      <c r="D392" s="276" t="s">
        <v>23</v>
      </c>
      <c r="E392" s="275" t="s">
        <v>26</v>
      </c>
      <c r="F392" s="275">
        <v>22</v>
      </c>
      <c r="G392" s="234" t="s">
        <v>69</v>
      </c>
      <c r="H392" s="277">
        <v>5.5</v>
      </c>
      <c r="I392" s="263">
        <v>74</v>
      </c>
      <c r="J392" s="263"/>
      <c r="K392" s="277">
        <v>5.5</v>
      </c>
      <c r="L392" s="277"/>
      <c r="M392" s="280" t="s">
        <v>115</v>
      </c>
      <c r="N392" s="234" t="s">
        <v>427</v>
      </c>
      <c r="O392" s="281">
        <v>44217</v>
      </c>
      <c r="P392" s="275" t="s">
        <v>65</v>
      </c>
      <c r="Q392" s="263" t="s">
        <v>47</v>
      </c>
      <c r="R392" s="233"/>
      <c r="S392" s="282"/>
      <c r="T392" s="265"/>
      <c r="U392" s="265"/>
      <c r="V392" s="266"/>
      <c r="W392" s="267"/>
      <c r="X392" s="241"/>
      <c r="Z392" s="240"/>
      <c r="AA392" s="241"/>
    </row>
    <row r="393" spans="1:27" s="268" customFormat="1">
      <c r="A393" s="232">
        <v>385</v>
      </c>
      <c r="B393" s="275" t="s">
        <v>225</v>
      </c>
      <c r="C393" s="275">
        <v>4</v>
      </c>
      <c r="D393" s="276" t="s">
        <v>23</v>
      </c>
      <c r="E393" s="275" t="s">
        <v>26</v>
      </c>
      <c r="F393" s="275">
        <v>37</v>
      </c>
      <c r="G393" s="234" t="s">
        <v>79</v>
      </c>
      <c r="H393" s="277">
        <v>4.7</v>
      </c>
      <c r="I393" s="263">
        <v>71</v>
      </c>
      <c r="J393" s="263"/>
      <c r="K393" s="277">
        <v>4.7</v>
      </c>
      <c r="L393" s="277"/>
      <c r="M393" s="280" t="s">
        <v>115</v>
      </c>
      <c r="N393" s="234" t="s">
        <v>427</v>
      </c>
      <c r="O393" s="281">
        <v>44217</v>
      </c>
      <c r="P393" s="275" t="s">
        <v>65</v>
      </c>
      <c r="Q393" s="263" t="s">
        <v>47</v>
      </c>
      <c r="R393" s="233"/>
      <c r="S393" s="282"/>
      <c r="T393" s="265"/>
      <c r="U393" s="265"/>
      <c r="V393" s="266"/>
      <c r="W393" s="267"/>
      <c r="X393" s="241"/>
      <c r="Z393" s="240"/>
      <c r="AA393" s="241"/>
    </row>
    <row r="394" spans="1:27" s="268" customFormat="1">
      <c r="A394" s="232">
        <v>386</v>
      </c>
      <c r="B394" s="275" t="s">
        <v>225</v>
      </c>
      <c r="C394" s="275">
        <v>4</v>
      </c>
      <c r="D394" s="276" t="s">
        <v>23</v>
      </c>
      <c r="E394" s="275" t="s">
        <v>26</v>
      </c>
      <c r="F394" s="275">
        <v>25</v>
      </c>
      <c r="G394" s="234" t="s">
        <v>71</v>
      </c>
      <c r="H394" s="277">
        <v>0.6</v>
      </c>
      <c r="I394" s="263">
        <v>9</v>
      </c>
      <c r="J394" s="263"/>
      <c r="K394" s="277">
        <v>0.6</v>
      </c>
      <c r="L394" s="277"/>
      <c r="M394" s="280" t="s">
        <v>115</v>
      </c>
      <c r="N394" s="234" t="s">
        <v>427</v>
      </c>
      <c r="O394" s="281">
        <v>44217</v>
      </c>
      <c r="P394" s="275" t="s">
        <v>65</v>
      </c>
      <c r="Q394" s="263" t="s">
        <v>47</v>
      </c>
      <c r="R394" s="233"/>
      <c r="S394" s="282"/>
      <c r="T394" s="265"/>
      <c r="U394" s="265"/>
      <c r="V394" s="266"/>
      <c r="W394" s="267"/>
      <c r="X394" s="241"/>
      <c r="Z394" s="240"/>
      <c r="AA394" s="241"/>
    </row>
    <row r="395" spans="1:27" s="268" customFormat="1">
      <c r="A395" s="232">
        <v>387</v>
      </c>
      <c r="B395" s="275" t="s">
        <v>225</v>
      </c>
      <c r="C395" s="275">
        <v>4</v>
      </c>
      <c r="D395" s="276" t="s">
        <v>23</v>
      </c>
      <c r="E395" s="275" t="s">
        <v>26</v>
      </c>
      <c r="F395" s="275">
        <v>10</v>
      </c>
      <c r="G395" s="234" t="s">
        <v>311</v>
      </c>
      <c r="H395" s="277">
        <v>1.3</v>
      </c>
      <c r="I395" s="263">
        <v>20</v>
      </c>
      <c r="J395" s="263"/>
      <c r="K395" s="277">
        <v>1.3</v>
      </c>
      <c r="L395" s="277"/>
      <c r="M395" s="280" t="s">
        <v>115</v>
      </c>
      <c r="N395" s="234" t="s">
        <v>427</v>
      </c>
      <c r="O395" s="281">
        <v>44217</v>
      </c>
      <c r="P395" s="275" t="s">
        <v>65</v>
      </c>
      <c r="Q395" s="263" t="s">
        <v>47</v>
      </c>
      <c r="R395" s="233"/>
      <c r="S395" s="282"/>
      <c r="T395" s="265"/>
      <c r="U395" s="265"/>
      <c r="V395" s="266"/>
      <c r="W395" s="267"/>
      <c r="X395" s="241"/>
      <c r="Z395" s="240"/>
      <c r="AA395" s="241"/>
    </row>
    <row r="396" spans="1:27" s="268" customFormat="1">
      <c r="A396" s="232">
        <v>388</v>
      </c>
      <c r="B396" s="275" t="s">
        <v>225</v>
      </c>
      <c r="C396" s="275">
        <v>4</v>
      </c>
      <c r="D396" s="276" t="s">
        <v>23</v>
      </c>
      <c r="E396" s="275" t="s">
        <v>26</v>
      </c>
      <c r="F396" s="275">
        <v>19</v>
      </c>
      <c r="G396" s="234" t="s">
        <v>75</v>
      </c>
      <c r="H396" s="277">
        <v>0.8</v>
      </c>
      <c r="I396" s="263">
        <v>37</v>
      </c>
      <c r="J396" s="263"/>
      <c r="K396" s="277">
        <v>0.8</v>
      </c>
      <c r="L396" s="277"/>
      <c r="M396" s="280" t="s">
        <v>115</v>
      </c>
      <c r="N396" s="234" t="s">
        <v>427</v>
      </c>
      <c r="O396" s="281">
        <v>44217</v>
      </c>
      <c r="P396" s="275" t="s">
        <v>65</v>
      </c>
      <c r="Q396" s="263" t="s">
        <v>47</v>
      </c>
      <c r="R396" s="233"/>
      <c r="S396" s="282"/>
      <c r="T396" s="265"/>
      <c r="U396" s="265"/>
      <c r="V396" s="266"/>
      <c r="W396" s="267"/>
      <c r="X396" s="241"/>
      <c r="Z396" s="240"/>
      <c r="AA396" s="241"/>
    </row>
    <row r="397" spans="1:27" s="268" customFormat="1">
      <c r="A397" s="232">
        <v>389</v>
      </c>
      <c r="B397" s="275" t="s">
        <v>225</v>
      </c>
      <c r="C397" s="275">
        <v>4</v>
      </c>
      <c r="D397" s="276" t="s">
        <v>23</v>
      </c>
      <c r="E397" s="275" t="s">
        <v>26</v>
      </c>
      <c r="F397" s="275">
        <v>24</v>
      </c>
      <c r="G397" s="234" t="s">
        <v>74</v>
      </c>
      <c r="H397" s="277">
        <v>1.2</v>
      </c>
      <c r="I397" s="263">
        <v>6</v>
      </c>
      <c r="J397" s="263"/>
      <c r="K397" s="277">
        <v>1.2</v>
      </c>
      <c r="L397" s="277"/>
      <c r="M397" s="280" t="s">
        <v>115</v>
      </c>
      <c r="N397" s="234" t="s">
        <v>427</v>
      </c>
      <c r="O397" s="281">
        <v>44217</v>
      </c>
      <c r="P397" s="275" t="s">
        <v>65</v>
      </c>
      <c r="Q397" s="263" t="s">
        <v>47</v>
      </c>
      <c r="R397" s="233"/>
      <c r="S397" s="282"/>
      <c r="T397" s="265"/>
      <c r="U397" s="265"/>
      <c r="V397" s="266"/>
      <c r="W397" s="267"/>
      <c r="X397" s="241"/>
      <c r="Z397" s="240"/>
      <c r="AA397" s="241"/>
    </row>
    <row r="398" spans="1:27" s="268" customFormat="1">
      <c r="A398" s="232">
        <v>390</v>
      </c>
      <c r="B398" s="275" t="s">
        <v>225</v>
      </c>
      <c r="C398" s="275">
        <v>4</v>
      </c>
      <c r="D398" s="276" t="s">
        <v>32</v>
      </c>
      <c r="E398" s="275" t="s">
        <v>26</v>
      </c>
      <c r="F398" s="275">
        <v>10</v>
      </c>
      <c r="G398" s="234" t="s">
        <v>78</v>
      </c>
      <c r="H398" s="277">
        <v>3.5</v>
      </c>
      <c r="I398" s="263">
        <v>53</v>
      </c>
      <c r="J398" s="263">
        <v>42</v>
      </c>
      <c r="K398" s="277">
        <v>3.5</v>
      </c>
      <c r="L398" s="277"/>
      <c r="M398" s="280" t="s">
        <v>115</v>
      </c>
      <c r="N398" s="234" t="s">
        <v>428</v>
      </c>
      <c r="O398" s="281">
        <v>44217</v>
      </c>
      <c r="P398" s="275" t="s">
        <v>65</v>
      </c>
      <c r="Q398" s="263" t="s">
        <v>47</v>
      </c>
      <c r="R398" s="233"/>
      <c r="S398" s="282"/>
      <c r="T398" s="265"/>
      <c r="U398" s="265"/>
      <c r="V398" s="266"/>
      <c r="W398" s="267"/>
      <c r="X398" s="241"/>
      <c r="Z398" s="240"/>
      <c r="AA398" s="241"/>
    </row>
    <row r="399" spans="1:27" s="268" customFormat="1">
      <c r="A399" s="232">
        <v>391</v>
      </c>
      <c r="B399" s="275" t="s">
        <v>225</v>
      </c>
      <c r="C399" s="275">
        <v>4</v>
      </c>
      <c r="D399" s="276" t="s">
        <v>32</v>
      </c>
      <c r="E399" s="275" t="s">
        <v>28</v>
      </c>
      <c r="F399" s="275">
        <v>124</v>
      </c>
      <c r="G399" s="234" t="s">
        <v>68</v>
      </c>
      <c r="H399" s="277">
        <v>2</v>
      </c>
      <c r="I399" s="263">
        <v>74</v>
      </c>
      <c r="J399" s="263">
        <v>50</v>
      </c>
      <c r="K399" s="277">
        <v>2</v>
      </c>
      <c r="L399" s="277"/>
      <c r="M399" s="280" t="s">
        <v>115</v>
      </c>
      <c r="N399" s="234" t="s">
        <v>428</v>
      </c>
      <c r="O399" s="281">
        <v>44217</v>
      </c>
      <c r="P399" s="275" t="s">
        <v>65</v>
      </c>
      <c r="Q399" s="263" t="s">
        <v>47</v>
      </c>
      <c r="R399" s="233"/>
      <c r="S399" s="282"/>
      <c r="T399" s="265"/>
      <c r="U399" s="265"/>
      <c r="V399" s="266"/>
      <c r="W399" s="267"/>
      <c r="X399" s="241"/>
      <c r="Z399" s="240"/>
      <c r="AA399" s="241"/>
    </row>
    <row r="400" spans="1:27" s="268" customFormat="1">
      <c r="A400" s="232">
        <v>392</v>
      </c>
      <c r="B400" s="275" t="s">
        <v>225</v>
      </c>
      <c r="C400" s="275">
        <v>4</v>
      </c>
      <c r="D400" s="276" t="s">
        <v>32</v>
      </c>
      <c r="E400" s="275" t="s">
        <v>28</v>
      </c>
      <c r="F400" s="275">
        <v>126</v>
      </c>
      <c r="G400" s="234" t="s">
        <v>74</v>
      </c>
      <c r="H400" s="277">
        <v>1.7</v>
      </c>
      <c r="I400" s="263">
        <v>69</v>
      </c>
      <c r="J400" s="263">
        <v>59</v>
      </c>
      <c r="K400" s="277">
        <v>1.7</v>
      </c>
      <c r="L400" s="277"/>
      <c r="M400" s="280" t="s">
        <v>115</v>
      </c>
      <c r="N400" s="234" t="s">
        <v>428</v>
      </c>
      <c r="O400" s="281">
        <v>44217</v>
      </c>
      <c r="P400" s="275" t="s">
        <v>65</v>
      </c>
      <c r="Q400" s="263" t="s">
        <v>47</v>
      </c>
      <c r="R400" s="233"/>
      <c r="S400" s="282"/>
      <c r="T400" s="265"/>
      <c r="U400" s="265"/>
      <c r="V400" s="266"/>
      <c r="W400" s="267"/>
      <c r="X400" s="241"/>
      <c r="Z400" s="240"/>
      <c r="AA400" s="241"/>
    </row>
    <row r="401" spans="1:27" s="268" customFormat="1">
      <c r="A401" s="232">
        <v>393</v>
      </c>
      <c r="B401" s="275" t="s">
        <v>225</v>
      </c>
      <c r="C401" s="275">
        <v>4</v>
      </c>
      <c r="D401" s="276" t="s">
        <v>32</v>
      </c>
      <c r="E401" s="275" t="s">
        <v>28</v>
      </c>
      <c r="F401" s="275">
        <v>128</v>
      </c>
      <c r="G401" s="234" t="s">
        <v>88</v>
      </c>
      <c r="H401" s="277">
        <v>0.1</v>
      </c>
      <c r="I401" s="263">
        <v>3</v>
      </c>
      <c r="J401" s="263">
        <v>3</v>
      </c>
      <c r="K401" s="277">
        <v>0.1</v>
      </c>
      <c r="L401" s="277"/>
      <c r="M401" s="280" t="s">
        <v>115</v>
      </c>
      <c r="N401" s="234" t="s">
        <v>428</v>
      </c>
      <c r="O401" s="281">
        <v>44217</v>
      </c>
      <c r="P401" s="275" t="s">
        <v>65</v>
      </c>
      <c r="Q401" s="263" t="s">
        <v>47</v>
      </c>
      <c r="R401" s="233"/>
      <c r="S401" s="282"/>
      <c r="T401" s="265"/>
      <c r="U401" s="265"/>
      <c r="V401" s="266"/>
      <c r="W401" s="267"/>
      <c r="X401" s="241"/>
      <c r="Z401" s="240"/>
      <c r="AA401" s="241"/>
    </row>
    <row r="402" spans="1:27" s="268" customFormat="1">
      <c r="A402" s="232">
        <v>394</v>
      </c>
      <c r="B402" s="275" t="s">
        <v>225</v>
      </c>
      <c r="C402" s="275">
        <v>4</v>
      </c>
      <c r="D402" s="276" t="s">
        <v>32</v>
      </c>
      <c r="E402" s="275" t="s">
        <v>26</v>
      </c>
      <c r="F402" s="275">
        <v>128</v>
      </c>
      <c r="G402" s="234" t="s">
        <v>85</v>
      </c>
      <c r="H402" s="277">
        <v>0.6</v>
      </c>
      <c r="I402" s="263">
        <v>35</v>
      </c>
      <c r="J402" s="263">
        <v>29</v>
      </c>
      <c r="K402" s="277">
        <v>0.6</v>
      </c>
      <c r="L402" s="277"/>
      <c r="M402" s="280" t="s">
        <v>115</v>
      </c>
      <c r="N402" s="234" t="s">
        <v>428</v>
      </c>
      <c r="O402" s="281">
        <v>44217</v>
      </c>
      <c r="P402" s="275" t="s">
        <v>65</v>
      </c>
      <c r="Q402" s="263" t="s">
        <v>47</v>
      </c>
      <c r="R402" s="233"/>
      <c r="S402" s="282"/>
      <c r="T402" s="265"/>
      <c r="U402" s="265"/>
      <c r="V402" s="266"/>
      <c r="W402" s="267"/>
      <c r="X402" s="241"/>
      <c r="Z402" s="240"/>
      <c r="AA402" s="241"/>
    </row>
    <row r="403" spans="1:27" s="268" customFormat="1">
      <c r="A403" s="232">
        <v>395</v>
      </c>
      <c r="B403" s="275" t="s">
        <v>225</v>
      </c>
      <c r="C403" s="275">
        <v>4</v>
      </c>
      <c r="D403" s="276" t="s">
        <v>32</v>
      </c>
      <c r="E403" s="275" t="s">
        <v>26</v>
      </c>
      <c r="F403" s="275">
        <v>129</v>
      </c>
      <c r="G403" s="234" t="s">
        <v>74</v>
      </c>
      <c r="H403" s="277">
        <v>5.0999999999999996</v>
      </c>
      <c r="I403" s="263">
        <v>75</v>
      </c>
      <c r="J403" s="263">
        <v>44</v>
      </c>
      <c r="K403" s="277">
        <v>5.0999999999999996</v>
      </c>
      <c r="L403" s="277"/>
      <c r="M403" s="280" t="s">
        <v>115</v>
      </c>
      <c r="N403" s="234" t="s">
        <v>428</v>
      </c>
      <c r="O403" s="281">
        <v>44217</v>
      </c>
      <c r="P403" s="275" t="s">
        <v>65</v>
      </c>
      <c r="Q403" s="263" t="s">
        <v>47</v>
      </c>
      <c r="R403" s="233"/>
      <c r="S403" s="282"/>
      <c r="T403" s="265"/>
      <c r="U403" s="265"/>
      <c r="V403" s="266"/>
      <c r="W403" s="267"/>
      <c r="X403" s="241"/>
      <c r="Z403" s="240"/>
      <c r="AA403" s="241"/>
    </row>
    <row r="404" spans="1:27" s="268" customFormat="1">
      <c r="A404" s="232">
        <v>396</v>
      </c>
      <c r="B404" s="275" t="s">
        <v>225</v>
      </c>
      <c r="C404" s="275">
        <v>4</v>
      </c>
      <c r="D404" s="276" t="s">
        <v>32</v>
      </c>
      <c r="E404" s="275" t="s">
        <v>26</v>
      </c>
      <c r="F404" s="275">
        <v>129</v>
      </c>
      <c r="G404" s="234" t="s">
        <v>79</v>
      </c>
      <c r="H404" s="277">
        <v>10.1</v>
      </c>
      <c r="I404" s="263">
        <v>169</v>
      </c>
      <c r="J404" s="263">
        <v>69</v>
      </c>
      <c r="K404" s="277">
        <v>10.1</v>
      </c>
      <c r="L404" s="277"/>
      <c r="M404" s="280" t="s">
        <v>115</v>
      </c>
      <c r="N404" s="234" t="s">
        <v>428</v>
      </c>
      <c r="O404" s="281">
        <v>44217</v>
      </c>
      <c r="P404" s="275" t="s">
        <v>65</v>
      </c>
      <c r="Q404" s="263" t="s">
        <v>47</v>
      </c>
      <c r="R404" s="233"/>
      <c r="S404" s="282"/>
      <c r="T404" s="265"/>
      <c r="U404" s="265"/>
      <c r="V404" s="266"/>
      <c r="W404" s="267"/>
      <c r="X404" s="241"/>
      <c r="Z404" s="240"/>
      <c r="AA404" s="241"/>
    </row>
    <row r="405" spans="1:27" s="268" customFormat="1">
      <c r="A405" s="232">
        <v>397</v>
      </c>
      <c r="B405" s="275" t="s">
        <v>225</v>
      </c>
      <c r="C405" s="275">
        <v>2</v>
      </c>
      <c r="D405" s="276" t="s">
        <v>32</v>
      </c>
      <c r="E405" s="275" t="s">
        <v>26</v>
      </c>
      <c r="F405" s="275">
        <v>13</v>
      </c>
      <c r="G405" s="234" t="s">
        <v>71</v>
      </c>
      <c r="H405" s="277">
        <v>21.7</v>
      </c>
      <c r="I405" s="263">
        <v>255</v>
      </c>
      <c r="J405" s="263">
        <v>226</v>
      </c>
      <c r="K405" s="277">
        <v>21.7</v>
      </c>
      <c r="L405" s="263"/>
      <c r="M405" s="280" t="s">
        <v>115</v>
      </c>
      <c r="N405" s="234" t="s">
        <v>428</v>
      </c>
      <c r="O405" s="281">
        <v>44217</v>
      </c>
      <c r="P405" s="275" t="s">
        <v>65</v>
      </c>
      <c r="Q405" s="263" t="s">
        <v>47</v>
      </c>
      <c r="R405" s="233"/>
      <c r="S405" s="282"/>
      <c r="T405" s="265"/>
      <c r="U405" s="265"/>
      <c r="V405" s="266" t="s">
        <v>42</v>
      </c>
      <c r="W405" s="267"/>
      <c r="X405" s="240"/>
      <c r="Z405" s="240"/>
      <c r="AA405" s="241"/>
    </row>
    <row r="406" spans="1:27" s="268" customFormat="1">
      <c r="A406" s="232">
        <v>398</v>
      </c>
      <c r="B406" s="275" t="s">
        <v>225</v>
      </c>
      <c r="C406" s="275">
        <v>4</v>
      </c>
      <c r="D406" s="276" t="s">
        <v>32</v>
      </c>
      <c r="E406" s="275" t="s">
        <v>26</v>
      </c>
      <c r="F406" s="275">
        <v>130</v>
      </c>
      <c r="G406" s="234" t="s">
        <v>84</v>
      </c>
      <c r="H406" s="277">
        <v>2.9</v>
      </c>
      <c r="I406" s="263">
        <v>58</v>
      </c>
      <c r="J406" s="263">
        <v>51</v>
      </c>
      <c r="K406" s="277">
        <v>2.9</v>
      </c>
      <c r="L406" s="263"/>
      <c r="M406" s="280" t="s">
        <v>115</v>
      </c>
      <c r="N406" s="234" t="s">
        <v>428</v>
      </c>
      <c r="O406" s="281">
        <v>44217</v>
      </c>
      <c r="P406" s="275" t="s">
        <v>65</v>
      </c>
      <c r="Q406" s="263" t="s">
        <v>47</v>
      </c>
      <c r="R406" s="233"/>
      <c r="S406" s="282"/>
      <c r="T406" s="265"/>
      <c r="U406" s="265"/>
      <c r="V406" s="266" t="s">
        <v>42</v>
      </c>
      <c r="W406" s="267"/>
      <c r="X406" s="240"/>
      <c r="Z406" s="240"/>
      <c r="AA406" s="241"/>
    </row>
    <row r="407" spans="1:27" s="268" customFormat="1">
      <c r="A407" s="232">
        <v>399</v>
      </c>
      <c r="B407" s="275" t="s">
        <v>225</v>
      </c>
      <c r="C407" s="275">
        <v>4</v>
      </c>
      <c r="D407" s="276" t="s">
        <v>32</v>
      </c>
      <c r="E407" s="275" t="s">
        <v>26</v>
      </c>
      <c r="F407" s="275">
        <v>130</v>
      </c>
      <c r="G407" s="234" t="s">
        <v>92</v>
      </c>
      <c r="H407" s="277">
        <v>3.4</v>
      </c>
      <c r="I407" s="263">
        <v>51</v>
      </c>
      <c r="J407" s="263">
        <v>43</v>
      </c>
      <c r="K407" s="277">
        <v>3.4</v>
      </c>
      <c r="L407" s="263"/>
      <c r="M407" s="280" t="s">
        <v>115</v>
      </c>
      <c r="N407" s="234" t="s">
        <v>428</v>
      </c>
      <c r="O407" s="281">
        <v>44217</v>
      </c>
      <c r="P407" s="275" t="s">
        <v>65</v>
      </c>
      <c r="Q407" s="263" t="s">
        <v>47</v>
      </c>
      <c r="R407" s="233"/>
      <c r="S407" s="282"/>
      <c r="T407" s="265"/>
      <c r="U407" s="265"/>
      <c r="V407" s="266" t="s">
        <v>42</v>
      </c>
      <c r="W407" s="267"/>
      <c r="X407" s="240"/>
      <c r="Z407" s="240"/>
      <c r="AA407" s="241"/>
    </row>
    <row r="408" spans="1:27" s="268" customFormat="1">
      <c r="A408" s="232">
        <v>400</v>
      </c>
      <c r="B408" s="275" t="s">
        <v>225</v>
      </c>
      <c r="C408" s="275">
        <v>4</v>
      </c>
      <c r="D408" s="276" t="s">
        <v>32</v>
      </c>
      <c r="E408" s="275" t="s">
        <v>28</v>
      </c>
      <c r="F408" s="275">
        <v>130</v>
      </c>
      <c r="G408" s="234" t="s">
        <v>75</v>
      </c>
      <c r="H408" s="277">
        <v>0.3</v>
      </c>
      <c r="I408" s="263">
        <v>16</v>
      </c>
      <c r="J408" s="263">
        <v>12</v>
      </c>
      <c r="K408" s="277">
        <v>0.3</v>
      </c>
      <c r="L408" s="263"/>
      <c r="M408" s="280" t="s">
        <v>115</v>
      </c>
      <c r="N408" s="234" t="s">
        <v>428</v>
      </c>
      <c r="O408" s="281">
        <v>44217</v>
      </c>
      <c r="P408" s="275" t="s">
        <v>65</v>
      </c>
      <c r="Q408" s="263" t="s">
        <v>47</v>
      </c>
      <c r="R408" s="233"/>
      <c r="S408" s="282"/>
      <c r="T408" s="265"/>
      <c r="U408" s="265"/>
      <c r="V408" s="266" t="s">
        <v>42</v>
      </c>
      <c r="W408" s="267"/>
      <c r="X408" s="240"/>
      <c r="Z408" s="240"/>
      <c r="AA408" s="241"/>
    </row>
    <row r="409" spans="1:27" s="268" customFormat="1">
      <c r="A409" s="232">
        <v>401</v>
      </c>
      <c r="B409" s="275" t="s">
        <v>225</v>
      </c>
      <c r="C409" s="275">
        <v>4</v>
      </c>
      <c r="D409" s="276" t="s">
        <v>32</v>
      </c>
      <c r="E409" s="275" t="s">
        <v>26</v>
      </c>
      <c r="F409" s="275">
        <v>16</v>
      </c>
      <c r="G409" s="234" t="s">
        <v>67</v>
      </c>
      <c r="H409" s="277">
        <v>18.8</v>
      </c>
      <c r="I409" s="263">
        <v>229</v>
      </c>
      <c r="J409" s="263">
        <v>150</v>
      </c>
      <c r="K409" s="277">
        <v>18.8</v>
      </c>
      <c r="L409" s="263"/>
      <c r="M409" s="280" t="s">
        <v>115</v>
      </c>
      <c r="N409" s="234" t="s">
        <v>428</v>
      </c>
      <c r="O409" s="281">
        <v>44217</v>
      </c>
      <c r="P409" s="275" t="s">
        <v>65</v>
      </c>
      <c r="Q409" s="263" t="s">
        <v>47</v>
      </c>
      <c r="R409" s="233"/>
      <c r="S409" s="282"/>
      <c r="T409" s="265"/>
      <c r="U409" s="265"/>
      <c r="V409" s="266" t="s">
        <v>42</v>
      </c>
      <c r="W409" s="267"/>
      <c r="X409" s="240"/>
      <c r="Z409" s="240"/>
      <c r="AA409" s="241"/>
    </row>
    <row r="410" spans="1:27" s="268" customFormat="1">
      <c r="A410" s="232">
        <v>402</v>
      </c>
      <c r="B410" s="275" t="s">
        <v>225</v>
      </c>
      <c r="C410" s="275">
        <v>4</v>
      </c>
      <c r="D410" s="276" t="s">
        <v>32</v>
      </c>
      <c r="E410" s="275" t="s">
        <v>28</v>
      </c>
      <c r="F410" s="275">
        <v>16</v>
      </c>
      <c r="G410" s="234" t="s">
        <v>74</v>
      </c>
      <c r="H410" s="277">
        <v>0.6</v>
      </c>
      <c r="I410" s="263">
        <v>32</v>
      </c>
      <c r="J410" s="263">
        <v>14</v>
      </c>
      <c r="K410" s="277">
        <v>0.6</v>
      </c>
      <c r="L410" s="263"/>
      <c r="M410" s="280" t="s">
        <v>115</v>
      </c>
      <c r="N410" s="234" t="s">
        <v>428</v>
      </c>
      <c r="O410" s="281">
        <v>44217</v>
      </c>
      <c r="P410" s="275" t="s">
        <v>65</v>
      </c>
      <c r="Q410" s="263" t="s">
        <v>47</v>
      </c>
      <c r="R410" s="233"/>
      <c r="S410" s="282"/>
      <c r="T410" s="265"/>
      <c r="U410" s="265"/>
      <c r="V410" s="266" t="s">
        <v>42</v>
      </c>
      <c r="W410" s="267"/>
      <c r="X410" s="240"/>
      <c r="Z410" s="240"/>
      <c r="AA410" s="241"/>
    </row>
    <row r="411" spans="1:27" s="268" customFormat="1">
      <c r="A411" s="232">
        <v>403</v>
      </c>
      <c r="B411" s="275" t="s">
        <v>225</v>
      </c>
      <c r="C411" s="275">
        <v>4</v>
      </c>
      <c r="D411" s="276" t="s">
        <v>32</v>
      </c>
      <c r="E411" s="275" t="s">
        <v>26</v>
      </c>
      <c r="F411" s="275">
        <v>19</v>
      </c>
      <c r="G411" s="234" t="s">
        <v>80</v>
      </c>
      <c r="H411" s="277">
        <v>5.7</v>
      </c>
      <c r="I411" s="263">
        <v>194</v>
      </c>
      <c r="J411" s="263">
        <v>110</v>
      </c>
      <c r="K411" s="277">
        <v>5.7</v>
      </c>
      <c r="L411" s="263"/>
      <c r="M411" s="280" t="s">
        <v>115</v>
      </c>
      <c r="N411" s="234" t="s">
        <v>428</v>
      </c>
      <c r="O411" s="281">
        <v>44217</v>
      </c>
      <c r="P411" s="275" t="s">
        <v>65</v>
      </c>
      <c r="Q411" s="263" t="s">
        <v>47</v>
      </c>
      <c r="R411" s="233"/>
      <c r="S411" s="282"/>
      <c r="T411" s="265"/>
      <c r="U411" s="265"/>
      <c r="V411" s="266" t="s">
        <v>42</v>
      </c>
      <c r="W411" s="267"/>
      <c r="X411" s="240"/>
      <c r="Z411" s="240"/>
      <c r="AA411" s="241"/>
    </row>
    <row r="412" spans="1:27" s="268" customFormat="1">
      <c r="A412" s="232">
        <v>404</v>
      </c>
      <c r="B412" s="275" t="s">
        <v>225</v>
      </c>
      <c r="C412" s="275">
        <v>4</v>
      </c>
      <c r="D412" s="276" t="s">
        <v>32</v>
      </c>
      <c r="E412" s="275" t="s">
        <v>129</v>
      </c>
      <c r="F412" s="275">
        <v>19</v>
      </c>
      <c r="G412" s="234" t="s">
        <v>79</v>
      </c>
      <c r="H412" s="277">
        <v>1.1000000000000001</v>
      </c>
      <c r="I412" s="263">
        <v>22</v>
      </c>
      <c r="J412" s="263">
        <v>15</v>
      </c>
      <c r="K412" s="277">
        <v>1.1000000000000001</v>
      </c>
      <c r="L412" s="263"/>
      <c r="M412" s="280" t="s">
        <v>115</v>
      </c>
      <c r="N412" s="234" t="s">
        <v>428</v>
      </c>
      <c r="O412" s="281">
        <v>44217</v>
      </c>
      <c r="P412" s="275" t="s">
        <v>65</v>
      </c>
      <c r="Q412" s="263" t="s">
        <v>47</v>
      </c>
      <c r="R412" s="233"/>
      <c r="S412" s="282"/>
      <c r="T412" s="265"/>
      <c r="U412" s="265"/>
      <c r="V412" s="266" t="s">
        <v>42</v>
      </c>
      <c r="W412" s="267"/>
      <c r="X412" s="240"/>
      <c r="Z412" s="240"/>
      <c r="AA412" s="241"/>
    </row>
    <row r="413" spans="1:27" s="268" customFormat="1">
      <c r="A413" s="232">
        <v>405</v>
      </c>
      <c r="B413" s="275" t="s">
        <v>225</v>
      </c>
      <c r="C413" s="275">
        <v>4</v>
      </c>
      <c r="D413" s="276" t="s">
        <v>32</v>
      </c>
      <c r="E413" s="275" t="s">
        <v>129</v>
      </c>
      <c r="F413" s="275">
        <v>20</v>
      </c>
      <c r="G413" s="234" t="s">
        <v>88</v>
      </c>
      <c r="H413" s="277">
        <v>5.7</v>
      </c>
      <c r="I413" s="263">
        <v>110</v>
      </c>
      <c r="J413" s="263">
        <v>88</v>
      </c>
      <c r="K413" s="277">
        <v>5.7</v>
      </c>
      <c r="L413" s="263"/>
      <c r="M413" s="280" t="s">
        <v>115</v>
      </c>
      <c r="N413" s="234" t="s">
        <v>428</v>
      </c>
      <c r="O413" s="281">
        <v>44217</v>
      </c>
      <c r="P413" s="275" t="s">
        <v>65</v>
      </c>
      <c r="Q413" s="263" t="s">
        <v>47</v>
      </c>
      <c r="R413" s="233"/>
      <c r="S413" s="282"/>
      <c r="T413" s="265"/>
      <c r="U413" s="265"/>
      <c r="V413" s="266" t="s">
        <v>42</v>
      </c>
      <c r="W413" s="267"/>
      <c r="X413" s="240"/>
      <c r="Z413" s="240"/>
      <c r="AA413" s="241"/>
    </row>
    <row r="414" spans="1:27" s="268" customFormat="1">
      <c r="A414" s="232">
        <v>406</v>
      </c>
      <c r="B414" s="275" t="s">
        <v>225</v>
      </c>
      <c r="C414" s="275">
        <v>4</v>
      </c>
      <c r="D414" s="276" t="s">
        <v>32</v>
      </c>
      <c r="E414" s="275" t="s">
        <v>26</v>
      </c>
      <c r="F414" s="275">
        <v>20</v>
      </c>
      <c r="G414" s="234" t="s">
        <v>72</v>
      </c>
      <c r="H414" s="277">
        <v>11</v>
      </c>
      <c r="I414" s="263">
        <v>166</v>
      </c>
      <c r="J414" s="263">
        <v>142</v>
      </c>
      <c r="K414" s="277">
        <v>11</v>
      </c>
      <c r="L414" s="263"/>
      <c r="M414" s="280" t="s">
        <v>115</v>
      </c>
      <c r="N414" s="234" t="s">
        <v>428</v>
      </c>
      <c r="O414" s="281">
        <v>44217</v>
      </c>
      <c r="P414" s="275" t="s">
        <v>65</v>
      </c>
      <c r="Q414" s="263" t="s">
        <v>47</v>
      </c>
      <c r="R414" s="233"/>
      <c r="S414" s="282"/>
      <c r="T414" s="265"/>
      <c r="U414" s="265"/>
      <c r="V414" s="266" t="s">
        <v>42</v>
      </c>
      <c r="W414" s="267"/>
      <c r="X414" s="240"/>
      <c r="Z414" s="240"/>
      <c r="AA414" s="241"/>
    </row>
    <row r="415" spans="1:27" s="268" customFormat="1">
      <c r="A415" s="232">
        <v>407</v>
      </c>
      <c r="B415" s="275" t="s">
        <v>225</v>
      </c>
      <c r="C415" s="275">
        <v>4</v>
      </c>
      <c r="D415" s="276" t="s">
        <v>32</v>
      </c>
      <c r="E415" s="275" t="s">
        <v>26</v>
      </c>
      <c r="F415" s="275">
        <v>21</v>
      </c>
      <c r="G415" s="234" t="s">
        <v>86</v>
      </c>
      <c r="H415" s="277">
        <v>0.2</v>
      </c>
      <c r="I415" s="263">
        <v>15</v>
      </c>
      <c r="J415" s="263">
        <v>14</v>
      </c>
      <c r="K415" s="277">
        <v>0.2</v>
      </c>
      <c r="L415" s="263"/>
      <c r="M415" s="280" t="s">
        <v>115</v>
      </c>
      <c r="N415" s="234" t="s">
        <v>428</v>
      </c>
      <c r="O415" s="281">
        <v>44217</v>
      </c>
      <c r="P415" s="275" t="s">
        <v>65</v>
      </c>
      <c r="Q415" s="263" t="s">
        <v>47</v>
      </c>
      <c r="R415" s="233"/>
      <c r="S415" s="282"/>
      <c r="T415" s="265"/>
      <c r="U415" s="265"/>
      <c r="V415" s="266" t="s">
        <v>42</v>
      </c>
      <c r="W415" s="267"/>
      <c r="X415" s="240"/>
      <c r="Z415" s="240"/>
      <c r="AA415" s="241"/>
    </row>
    <row r="416" spans="1:27" s="268" customFormat="1">
      <c r="A416" s="232">
        <v>408</v>
      </c>
      <c r="B416" s="275" t="s">
        <v>225</v>
      </c>
      <c r="C416" s="275">
        <v>4</v>
      </c>
      <c r="D416" s="276" t="s">
        <v>32</v>
      </c>
      <c r="E416" s="275" t="s">
        <v>26</v>
      </c>
      <c r="F416" s="275">
        <v>40</v>
      </c>
      <c r="G416" s="234" t="s">
        <v>78</v>
      </c>
      <c r="H416" s="277">
        <v>1.8</v>
      </c>
      <c r="I416" s="263">
        <v>19</v>
      </c>
      <c r="J416" s="263">
        <v>18</v>
      </c>
      <c r="K416" s="277">
        <v>1.8</v>
      </c>
      <c r="L416" s="263"/>
      <c r="M416" s="280" t="s">
        <v>115</v>
      </c>
      <c r="N416" s="234" t="s">
        <v>428</v>
      </c>
      <c r="O416" s="281">
        <v>44217</v>
      </c>
      <c r="P416" s="275" t="s">
        <v>65</v>
      </c>
      <c r="Q416" s="263" t="s">
        <v>47</v>
      </c>
      <c r="R416" s="233"/>
      <c r="S416" s="282"/>
      <c r="T416" s="265"/>
      <c r="U416" s="265"/>
      <c r="V416" s="266" t="s">
        <v>42</v>
      </c>
      <c r="W416" s="267"/>
      <c r="X416" s="240"/>
      <c r="Z416" s="240"/>
      <c r="AA416" s="241"/>
    </row>
    <row r="417" spans="1:27" s="268" customFormat="1">
      <c r="A417" s="232">
        <v>409</v>
      </c>
      <c r="B417" s="275" t="s">
        <v>225</v>
      </c>
      <c r="C417" s="275">
        <v>4</v>
      </c>
      <c r="D417" s="276" t="s">
        <v>32</v>
      </c>
      <c r="E417" s="275" t="s">
        <v>26</v>
      </c>
      <c r="F417" s="275">
        <v>9</v>
      </c>
      <c r="G417" s="234" t="s">
        <v>67</v>
      </c>
      <c r="H417" s="277">
        <v>5.5</v>
      </c>
      <c r="I417" s="263">
        <v>90</v>
      </c>
      <c r="J417" s="263">
        <v>37</v>
      </c>
      <c r="K417" s="277">
        <v>5.5</v>
      </c>
      <c r="L417" s="277"/>
      <c r="M417" s="280" t="s">
        <v>115</v>
      </c>
      <c r="N417" s="234" t="s">
        <v>428</v>
      </c>
      <c r="O417" s="281">
        <v>44217</v>
      </c>
      <c r="P417" s="275" t="s">
        <v>65</v>
      </c>
      <c r="Q417" s="263" t="s">
        <v>47</v>
      </c>
      <c r="R417" s="233"/>
      <c r="S417" s="282"/>
      <c r="T417" s="265"/>
      <c r="U417" s="265"/>
      <c r="V417" s="266"/>
      <c r="W417" s="267"/>
      <c r="X417" s="240"/>
      <c r="Z417" s="240"/>
      <c r="AA417" s="241"/>
    </row>
    <row r="418" spans="1:27" s="268" customFormat="1">
      <c r="A418" s="232">
        <v>410</v>
      </c>
      <c r="B418" s="275" t="s">
        <v>225</v>
      </c>
      <c r="C418" s="275">
        <v>4</v>
      </c>
      <c r="D418" s="276" t="s">
        <v>32</v>
      </c>
      <c r="E418" s="275" t="s">
        <v>28</v>
      </c>
      <c r="F418" s="275">
        <v>20</v>
      </c>
      <c r="G418" s="234" t="s">
        <v>67</v>
      </c>
      <c r="H418" s="277">
        <v>1.4</v>
      </c>
      <c r="I418" s="263">
        <v>18</v>
      </c>
      <c r="J418" s="263">
        <v>15</v>
      </c>
      <c r="K418" s="277">
        <v>1.4</v>
      </c>
      <c r="L418" s="277"/>
      <c r="M418" s="280" t="s">
        <v>115</v>
      </c>
      <c r="N418" s="234" t="s">
        <v>428</v>
      </c>
      <c r="O418" s="281">
        <v>44217</v>
      </c>
      <c r="P418" s="275" t="s">
        <v>65</v>
      </c>
      <c r="Q418" s="263" t="s">
        <v>47</v>
      </c>
      <c r="R418" s="233"/>
      <c r="S418" s="282"/>
      <c r="T418" s="265"/>
      <c r="U418" s="265"/>
      <c r="V418" s="266"/>
      <c r="W418" s="267"/>
      <c r="X418" s="240"/>
      <c r="Z418" s="240"/>
      <c r="AA418" s="241"/>
    </row>
    <row r="419" spans="1:27" s="268" customFormat="1">
      <c r="A419" s="232">
        <v>411</v>
      </c>
      <c r="B419" s="275" t="s">
        <v>225</v>
      </c>
      <c r="C419" s="275">
        <v>4</v>
      </c>
      <c r="D419" s="276" t="s">
        <v>32</v>
      </c>
      <c r="E419" s="275" t="s">
        <v>26</v>
      </c>
      <c r="F419" s="275">
        <v>10</v>
      </c>
      <c r="G419" s="234" t="s">
        <v>429</v>
      </c>
      <c r="H419" s="277">
        <v>1.3</v>
      </c>
      <c r="I419" s="263">
        <v>23</v>
      </c>
      <c r="J419" s="263">
        <v>19</v>
      </c>
      <c r="K419" s="277">
        <v>1.3</v>
      </c>
      <c r="L419" s="277"/>
      <c r="M419" s="280" t="s">
        <v>115</v>
      </c>
      <c r="N419" s="234" t="s">
        <v>428</v>
      </c>
      <c r="O419" s="281">
        <v>44217</v>
      </c>
      <c r="P419" s="275" t="s">
        <v>65</v>
      </c>
      <c r="Q419" s="263" t="s">
        <v>47</v>
      </c>
      <c r="R419" s="233"/>
      <c r="S419" s="282"/>
      <c r="T419" s="265"/>
      <c r="U419" s="265"/>
      <c r="V419" s="266"/>
      <c r="W419" s="267"/>
      <c r="X419" s="240"/>
      <c r="Z419" s="240"/>
      <c r="AA419" s="241"/>
    </row>
    <row r="420" spans="1:27" s="268" customFormat="1">
      <c r="A420" s="232">
        <v>412</v>
      </c>
      <c r="B420" s="275" t="s">
        <v>225</v>
      </c>
      <c r="C420" s="275">
        <v>5</v>
      </c>
      <c r="D420" s="276" t="s">
        <v>32</v>
      </c>
      <c r="E420" s="275" t="s">
        <v>26</v>
      </c>
      <c r="F420" s="275">
        <v>10</v>
      </c>
      <c r="G420" s="234" t="s">
        <v>77</v>
      </c>
      <c r="H420" s="277">
        <v>0.9</v>
      </c>
      <c r="I420" s="263">
        <v>16</v>
      </c>
      <c r="J420" s="263">
        <v>14</v>
      </c>
      <c r="K420" s="277"/>
      <c r="L420" s="277">
        <v>0.9</v>
      </c>
      <c r="M420" s="280" t="s">
        <v>115</v>
      </c>
      <c r="N420" s="234" t="s">
        <v>493</v>
      </c>
      <c r="O420" s="281">
        <v>44515</v>
      </c>
      <c r="P420" s="275" t="s">
        <v>65</v>
      </c>
      <c r="Q420" s="263" t="s">
        <v>47</v>
      </c>
      <c r="R420" s="233"/>
      <c r="S420" s="282"/>
      <c r="T420" s="265"/>
      <c r="U420" s="265"/>
      <c r="V420" s="266"/>
      <c r="W420" s="267"/>
      <c r="X420" s="240"/>
      <c r="Z420" s="240"/>
      <c r="AA420" s="241"/>
    </row>
    <row r="421" spans="1:27" s="268" customFormat="1">
      <c r="A421" s="232">
        <v>413</v>
      </c>
      <c r="B421" s="275" t="s">
        <v>225</v>
      </c>
      <c r="C421" s="275">
        <v>6</v>
      </c>
      <c r="D421" s="276" t="s">
        <v>32</v>
      </c>
      <c r="E421" s="275" t="s">
        <v>26</v>
      </c>
      <c r="F421" s="275">
        <v>14</v>
      </c>
      <c r="G421" s="234" t="s">
        <v>71</v>
      </c>
      <c r="H421" s="277">
        <v>1.1000000000000001</v>
      </c>
      <c r="I421" s="263">
        <v>18</v>
      </c>
      <c r="J421" s="263">
        <v>17</v>
      </c>
      <c r="K421" s="277"/>
      <c r="L421" s="277">
        <v>1.1000000000000001</v>
      </c>
      <c r="M421" s="280" t="s">
        <v>115</v>
      </c>
      <c r="N421" s="234" t="s">
        <v>493</v>
      </c>
      <c r="O421" s="281">
        <v>44515</v>
      </c>
      <c r="P421" s="275" t="s">
        <v>65</v>
      </c>
      <c r="Q421" s="263" t="s">
        <v>47</v>
      </c>
      <c r="R421" s="233"/>
      <c r="S421" s="282"/>
      <c r="T421" s="265"/>
      <c r="U421" s="265"/>
      <c r="V421" s="266"/>
      <c r="W421" s="267"/>
      <c r="X421" s="240"/>
      <c r="Z421" s="240"/>
      <c r="AA421" s="241"/>
    </row>
    <row r="422" spans="1:27" s="268" customFormat="1">
      <c r="A422" s="232">
        <v>414</v>
      </c>
      <c r="B422" s="275" t="s">
        <v>225</v>
      </c>
      <c r="C422" s="275">
        <v>7</v>
      </c>
      <c r="D422" s="276" t="s">
        <v>32</v>
      </c>
      <c r="E422" s="275" t="s">
        <v>26</v>
      </c>
      <c r="F422" s="275">
        <v>40</v>
      </c>
      <c r="G422" s="234" t="s">
        <v>88</v>
      </c>
      <c r="H422" s="277">
        <v>0.9</v>
      </c>
      <c r="I422" s="263">
        <v>27</v>
      </c>
      <c r="J422" s="263">
        <v>5</v>
      </c>
      <c r="K422" s="277"/>
      <c r="L422" s="277">
        <v>0.9</v>
      </c>
      <c r="M422" s="280" t="s">
        <v>115</v>
      </c>
      <c r="N422" s="234" t="s">
        <v>493</v>
      </c>
      <c r="O422" s="281">
        <v>44515</v>
      </c>
      <c r="P422" s="275" t="s">
        <v>65</v>
      </c>
      <c r="Q422" s="263" t="s">
        <v>47</v>
      </c>
      <c r="R422" s="233"/>
      <c r="S422" s="282"/>
      <c r="T422" s="265"/>
      <c r="U422" s="265"/>
      <c r="V422" s="266"/>
      <c r="W422" s="267"/>
      <c r="X422" s="240"/>
      <c r="Z422" s="240"/>
      <c r="AA422" s="241"/>
    </row>
    <row r="423" spans="1:27" s="268" customFormat="1">
      <c r="A423" s="232">
        <v>415</v>
      </c>
      <c r="B423" s="275" t="s">
        <v>225</v>
      </c>
      <c r="C423" s="275">
        <v>4</v>
      </c>
      <c r="D423" s="276" t="s">
        <v>125</v>
      </c>
      <c r="E423" s="275" t="s">
        <v>26</v>
      </c>
      <c r="F423" s="275">
        <v>10</v>
      </c>
      <c r="G423" s="234" t="s">
        <v>82</v>
      </c>
      <c r="H423" s="277">
        <v>0.9</v>
      </c>
      <c r="I423" s="263">
        <v>3</v>
      </c>
      <c r="J423" s="263">
        <v>3</v>
      </c>
      <c r="K423" s="277"/>
      <c r="L423" s="277">
        <v>0.9</v>
      </c>
      <c r="M423" s="280" t="s">
        <v>115</v>
      </c>
      <c r="N423" s="234" t="s">
        <v>430</v>
      </c>
      <c r="O423" s="281">
        <v>44217</v>
      </c>
      <c r="P423" s="275" t="s">
        <v>65</v>
      </c>
      <c r="Q423" s="263" t="s">
        <v>47</v>
      </c>
      <c r="R423" s="233"/>
      <c r="S423" s="282"/>
      <c r="T423" s="265"/>
      <c r="U423" s="265"/>
      <c r="V423" s="266"/>
      <c r="W423" s="267"/>
      <c r="X423" s="240"/>
      <c r="Z423" s="240"/>
      <c r="AA423" s="241"/>
    </row>
    <row r="424" spans="1:27" s="268" customFormat="1">
      <c r="A424" s="232">
        <v>416</v>
      </c>
      <c r="B424" s="275" t="s">
        <v>225</v>
      </c>
      <c r="C424" s="275">
        <v>2</v>
      </c>
      <c r="D424" s="276" t="s">
        <v>125</v>
      </c>
      <c r="E424" s="275" t="s">
        <v>26</v>
      </c>
      <c r="F424" s="275">
        <v>14</v>
      </c>
      <c r="G424" s="234" t="s">
        <v>68</v>
      </c>
      <c r="H424" s="277">
        <v>0.7</v>
      </c>
      <c r="I424" s="263">
        <v>3</v>
      </c>
      <c r="J424" s="263">
        <v>3</v>
      </c>
      <c r="K424" s="277"/>
      <c r="L424" s="277">
        <v>0.7</v>
      </c>
      <c r="M424" s="280" t="s">
        <v>115</v>
      </c>
      <c r="N424" s="234" t="s">
        <v>430</v>
      </c>
      <c r="O424" s="281">
        <v>44217</v>
      </c>
      <c r="P424" s="275" t="s">
        <v>65</v>
      </c>
      <c r="Q424" s="263" t="s">
        <v>47</v>
      </c>
      <c r="R424" s="233"/>
      <c r="S424" s="282"/>
      <c r="T424" s="265"/>
      <c r="U424" s="265"/>
      <c r="V424" s="266"/>
      <c r="W424" s="267"/>
      <c r="X424" s="240"/>
      <c r="Z424" s="240"/>
      <c r="AA424" s="241"/>
    </row>
    <row r="425" spans="1:27" s="268" customFormat="1">
      <c r="A425" s="232">
        <v>417</v>
      </c>
      <c r="B425" s="275" t="s">
        <v>225</v>
      </c>
      <c r="C425" s="275">
        <v>4</v>
      </c>
      <c r="D425" s="276" t="s">
        <v>125</v>
      </c>
      <c r="E425" s="275" t="s">
        <v>28</v>
      </c>
      <c r="F425" s="275">
        <v>19</v>
      </c>
      <c r="G425" s="234" t="s">
        <v>92</v>
      </c>
      <c r="H425" s="277">
        <v>0.6</v>
      </c>
      <c r="I425" s="263">
        <v>2</v>
      </c>
      <c r="J425" s="263">
        <v>2</v>
      </c>
      <c r="K425" s="277"/>
      <c r="L425" s="277">
        <v>0.6</v>
      </c>
      <c r="M425" s="280" t="s">
        <v>115</v>
      </c>
      <c r="N425" s="234" t="s">
        <v>430</v>
      </c>
      <c r="O425" s="281">
        <v>44217</v>
      </c>
      <c r="P425" s="275" t="s">
        <v>65</v>
      </c>
      <c r="Q425" s="263" t="s">
        <v>47</v>
      </c>
      <c r="R425" s="233"/>
      <c r="S425" s="282"/>
      <c r="T425" s="265"/>
      <c r="U425" s="265"/>
      <c r="V425" s="266"/>
      <c r="W425" s="267"/>
      <c r="X425" s="240"/>
      <c r="Z425" s="240"/>
      <c r="AA425" s="241"/>
    </row>
    <row r="426" spans="1:27" s="268" customFormat="1">
      <c r="A426" s="232">
        <v>418</v>
      </c>
      <c r="B426" s="275" t="s">
        <v>225</v>
      </c>
      <c r="C426" s="275">
        <v>4</v>
      </c>
      <c r="D426" s="276" t="s">
        <v>125</v>
      </c>
      <c r="E426" s="275" t="s">
        <v>28</v>
      </c>
      <c r="F426" s="275">
        <v>34</v>
      </c>
      <c r="G426" s="234" t="s">
        <v>69</v>
      </c>
      <c r="H426" s="277">
        <v>0.1</v>
      </c>
      <c r="I426" s="263">
        <v>1</v>
      </c>
      <c r="J426" s="263">
        <v>1</v>
      </c>
      <c r="K426" s="277"/>
      <c r="L426" s="277">
        <v>0.1</v>
      </c>
      <c r="M426" s="280" t="s">
        <v>115</v>
      </c>
      <c r="N426" s="234" t="s">
        <v>430</v>
      </c>
      <c r="O426" s="281">
        <v>44217</v>
      </c>
      <c r="P426" s="275" t="s">
        <v>65</v>
      </c>
      <c r="Q426" s="263" t="s">
        <v>47</v>
      </c>
      <c r="R426" s="233"/>
      <c r="S426" s="282"/>
      <c r="T426" s="265"/>
      <c r="U426" s="265"/>
      <c r="V426" s="266"/>
      <c r="W426" s="267"/>
      <c r="X426" s="240"/>
      <c r="Z426" s="240"/>
      <c r="AA426" s="241"/>
    </row>
    <row r="427" spans="1:27" s="268" customFormat="1">
      <c r="A427" s="232">
        <v>419</v>
      </c>
      <c r="B427" s="275" t="s">
        <v>225</v>
      </c>
      <c r="C427" s="275">
        <v>4</v>
      </c>
      <c r="D427" s="276" t="s">
        <v>125</v>
      </c>
      <c r="E427" s="275" t="s">
        <v>28</v>
      </c>
      <c r="F427" s="275">
        <v>34</v>
      </c>
      <c r="G427" s="234" t="s">
        <v>67</v>
      </c>
      <c r="H427" s="277">
        <v>0.5</v>
      </c>
      <c r="I427" s="263">
        <v>12</v>
      </c>
      <c r="J427" s="263">
        <v>11</v>
      </c>
      <c r="K427" s="277"/>
      <c r="L427" s="277">
        <v>0.5</v>
      </c>
      <c r="M427" s="280" t="s">
        <v>115</v>
      </c>
      <c r="N427" s="234" t="s">
        <v>430</v>
      </c>
      <c r="O427" s="281">
        <v>44217</v>
      </c>
      <c r="P427" s="275" t="s">
        <v>65</v>
      </c>
      <c r="Q427" s="263" t="s">
        <v>47</v>
      </c>
      <c r="R427" s="233"/>
      <c r="S427" s="282"/>
      <c r="T427" s="265"/>
      <c r="U427" s="265"/>
      <c r="V427" s="266"/>
      <c r="W427" s="267"/>
      <c r="X427" s="240"/>
      <c r="Z427" s="240"/>
      <c r="AA427" s="241"/>
    </row>
    <row r="428" spans="1:27" s="268" customFormat="1">
      <c r="A428" s="232">
        <v>420</v>
      </c>
      <c r="B428" s="275" t="s">
        <v>225</v>
      </c>
      <c r="C428" s="275">
        <v>4</v>
      </c>
      <c r="D428" s="276" t="s">
        <v>125</v>
      </c>
      <c r="E428" s="275" t="s">
        <v>28</v>
      </c>
      <c r="F428" s="275">
        <v>34</v>
      </c>
      <c r="G428" s="234" t="s">
        <v>74</v>
      </c>
      <c r="H428" s="277">
        <v>0.3</v>
      </c>
      <c r="I428" s="263">
        <v>1</v>
      </c>
      <c r="J428" s="263">
        <v>1</v>
      </c>
      <c r="K428" s="277"/>
      <c r="L428" s="277">
        <v>0.3</v>
      </c>
      <c r="M428" s="280" t="s">
        <v>115</v>
      </c>
      <c r="N428" s="234" t="s">
        <v>430</v>
      </c>
      <c r="O428" s="281">
        <v>44217</v>
      </c>
      <c r="P428" s="275" t="s">
        <v>65</v>
      </c>
      <c r="Q428" s="263" t="s">
        <v>47</v>
      </c>
      <c r="R428" s="233"/>
      <c r="S428" s="282"/>
      <c r="T428" s="265"/>
      <c r="U428" s="265"/>
      <c r="V428" s="266"/>
      <c r="W428" s="267"/>
      <c r="X428" s="240"/>
      <c r="Z428" s="240"/>
      <c r="AA428" s="241"/>
    </row>
    <row r="429" spans="1:27" s="268" customFormat="1">
      <c r="A429" s="232">
        <v>421</v>
      </c>
      <c r="B429" s="275" t="s">
        <v>225</v>
      </c>
      <c r="C429" s="275">
        <v>4</v>
      </c>
      <c r="D429" s="276" t="s">
        <v>125</v>
      </c>
      <c r="E429" s="275" t="s">
        <v>26</v>
      </c>
      <c r="F429" s="275">
        <v>34</v>
      </c>
      <c r="G429" s="234" t="s">
        <v>79</v>
      </c>
      <c r="H429" s="277">
        <v>1.1000000000000001</v>
      </c>
      <c r="I429" s="263">
        <v>6</v>
      </c>
      <c r="J429" s="263">
        <v>6</v>
      </c>
      <c r="K429" s="277"/>
      <c r="L429" s="277">
        <v>1.1000000000000001</v>
      </c>
      <c r="M429" s="280" t="s">
        <v>115</v>
      </c>
      <c r="N429" s="234" t="s">
        <v>430</v>
      </c>
      <c r="O429" s="281">
        <v>44217</v>
      </c>
      <c r="P429" s="275" t="s">
        <v>65</v>
      </c>
      <c r="Q429" s="263" t="s">
        <v>47</v>
      </c>
      <c r="R429" s="233"/>
      <c r="S429" s="282"/>
      <c r="T429" s="265"/>
      <c r="U429" s="265"/>
      <c r="V429" s="266"/>
      <c r="W429" s="267"/>
      <c r="X429" s="240"/>
      <c r="Z429" s="240"/>
      <c r="AA429" s="241"/>
    </row>
    <row r="430" spans="1:27" s="268" customFormat="1">
      <c r="A430" s="232">
        <v>422</v>
      </c>
      <c r="B430" s="275" t="s">
        <v>225</v>
      </c>
      <c r="C430" s="275">
        <v>4</v>
      </c>
      <c r="D430" s="276" t="s">
        <v>125</v>
      </c>
      <c r="E430" s="275" t="s">
        <v>26</v>
      </c>
      <c r="F430" s="275">
        <v>4</v>
      </c>
      <c r="G430" s="234" t="s">
        <v>71</v>
      </c>
      <c r="H430" s="277">
        <v>0.4</v>
      </c>
      <c r="I430" s="263">
        <v>3</v>
      </c>
      <c r="J430" s="263">
        <v>3</v>
      </c>
      <c r="K430" s="277"/>
      <c r="L430" s="277">
        <v>0.4</v>
      </c>
      <c r="M430" s="280" t="s">
        <v>115</v>
      </c>
      <c r="N430" s="234" t="s">
        <v>430</v>
      </c>
      <c r="O430" s="281">
        <v>44217</v>
      </c>
      <c r="P430" s="275" t="s">
        <v>65</v>
      </c>
      <c r="Q430" s="263" t="s">
        <v>47</v>
      </c>
      <c r="R430" s="233"/>
      <c r="S430" s="282"/>
      <c r="T430" s="265"/>
      <c r="U430" s="265"/>
      <c r="V430" s="266"/>
      <c r="W430" s="267"/>
      <c r="X430" s="240"/>
      <c r="Z430" s="240"/>
      <c r="AA430" s="241"/>
    </row>
    <row r="431" spans="1:27" s="268" customFormat="1">
      <c r="A431" s="232">
        <v>423</v>
      </c>
      <c r="B431" s="275" t="s">
        <v>225</v>
      </c>
      <c r="C431" s="275">
        <v>4</v>
      </c>
      <c r="D431" s="276" t="s">
        <v>125</v>
      </c>
      <c r="E431" s="275" t="s">
        <v>26</v>
      </c>
      <c r="F431" s="275">
        <v>4</v>
      </c>
      <c r="G431" s="234" t="s">
        <v>74</v>
      </c>
      <c r="H431" s="277">
        <v>0.8</v>
      </c>
      <c r="I431" s="263">
        <v>5</v>
      </c>
      <c r="J431" s="263">
        <v>5</v>
      </c>
      <c r="K431" s="277"/>
      <c r="L431" s="277">
        <v>0.8</v>
      </c>
      <c r="M431" s="280" t="s">
        <v>115</v>
      </c>
      <c r="N431" s="234" t="s">
        <v>430</v>
      </c>
      <c r="O431" s="281">
        <v>44217</v>
      </c>
      <c r="P431" s="275" t="s">
        <v>65</v>
      </c>
      <c r="Q431" s="263" t="s">
        <v>47</v>
      </c>
      <c r="R431" s="233"/>
      <c r="S431" s="282"/>
      <c r="T431" s="265"/>
      <c r="U431" s="265"/>
      <c r="V431" s="266"/>
      <c r="W431" s="267"/>
      <c r="X431" s="240"/>
      <c r="Z431" s="240"/>
      <c r="AA431" s="241"/>
    </row>
    <row r="432" spans="1:27" s="268" customFormat="1">
      <c r="A432" s="232">
        <v>424</v>
      </c>
      <c r="B432" s="275" t="s">
        <v>225</v>
      </c>
      <c r="C432" s="275">
        <v>4</v>
      </c>
      <c r="D432" s="276" t="s">
        <v>125</v>
      </c>
      <c r="E432" s="275" t="s">
        <v>26</v>
      </c>
      <c r="F432" s="275">
        <v>4</v>
      </c>
      <c r="G432" s="234" t="s">
        <v>85</v>
      </c>
      <c r="H432" s="277">
        <v>0.1</v>
      </c>
      <c r="I432" s="263">
        <v>3</v>
      </c>
      <c r="J432" s="263">
        <v>2</v>
      </c>
      <c r="K432" s="277"/>
      <c r="L432" s="277">
        <v>0.1</v>
      </c>
      <c r="M432" s="280" t="s">
        <v>115</v>
      </c>
      <c r="N432" s="234" t="s">
        <v>430</v>
      </c>
      <c r="O432" s="281">
        <v>44217</v>
      </c>
      <c r="P432" s="275" t="s">
        <v>65</v>
      </c>
      <c r="Q432" s="263" t="s">
        <v>47</v>
      </c>
      <c r="R432" s="233"/>
      <c r="S432" s="282"/>
      <c r="T432" s="265"/>
      <c r="U432" s="265"/>
      <c r="V432" s="266"/>
      <c r="W432" s="267"/>
      <c r="X432" s="240"/>
      <c r="Z432" s="240"/>
      <c r="AA432" s="241"/>
    </row>
    <row r="433" spans="1:27" s="268" customFormat="1">
      <c r="A433" s="232">
        <v>425</v>
      </c>
      <c r="B433" s="275" t="s">
        <v>225</v>
      </c>
      <c r="C433" s="275">
        <v>4</v>
      </c>
      <c r="D433" s="276" t="s">
        <v>125</v>
      </c>
      <c r="E433" s="275" t="s">
        <v>26</v>
      </c>
      <c r="F433" s="275">
        <v>7</v>
      </c>
      <c r="G433" s="234" t="s">
        <v>162</v>
      </c>
      <c r="H433" s="277">
        <v>0.1</v>
      </c>
      <c r="I433" s="263">
        <v>9</v>
      </c>
      <c r="J433" s="263">
        <v>5</v>
      </c>
      <c r="K433" s="277"/>
      <c r="L433" s="277">
        <v>0.1</v>
      </c>
      <c r="M433" s="280" t="s">
        <v>115</v>
      </c>
      <c r="N433" s="234" t="s">
        <v>430</v>
      </c>
      <c r="O433" s="281">
        <v>44217</v>
      </c>
      <c r="P433" s="275" t="s">
        <v>65</v>
      </c>
      <c r="Q433" s="263" t="s">
        <v>47</v>
      </c>
      <c r="R433" s="233"/>
      <c r="S433" s="282"/>
      <c r="T433" s="265"/>
      <c r="U433" s="265"/>
      <c r="V433" s="266"/>
      <c r="W433" s="267"/>
      <c r="X433" s="240"/>
      <c r="Z433" s="240"/>
      <c r="AA433" s="241"/>
    </row>
    <row r="434" spans="1:27" s="268" customFormat="1">
      <c r="A434" s="232">
        <v>426</v>
      </c>
      <c r="B434" s="275" t="s">
        <v>225</v>
      </c>
      <c r="C434" s="275">
        <v>4</v>
      </c>
      <c r="D434" s="276" t="s">
        <v>125</v>
      </c>
      <c r="E434" s="275" t="s">
        <v>26</v>
      </c>
      <c r="F434" s="275">
        <v>9</v>
      </c>
      <c r="G434" s="234" t="s">
        <v>78</v>
      </c>
      <c r="H434" s="277">
        <v>0.6</v>
      </c>
      <c r="I434" s="263">
        <v>1</v>
      </c>
      <c r="J434" s="263">
        <v>1</v>
      </c>
      <c r="K434" s="277"/>
      <c r="L434" s="277">
        <v>0.6</v>
      </c>
      <c r="M434" s="280" t="s">
        <v>115</v>
      </c>
      <c r="N434" s="234" t="s">
        <v>430</v>
      </c>
      <c r="O434" s="281">
        <v>44217</v>
      </c>
      <c r="P434" s="275" t="s">
        <v>65</v>
      </c>
      <c r="Q434" s="263" t="s">
        <v>47</v>
      </c>
      <c r="R434" s="233"/>
      <c r="S434" s="282"/>
      <c r="T434" s="265"/>
      <c r="U434" s="265"/>
      <c r="V434" s="266"/>
      <c r="W434" s="267"/>
      <c r="X434" s="240"/>
      <c r="Z434" s="240"/>
      <c r="AA434" s="241"/>
    </row>
    <row r="435" spans="1:27" s="268" customFormat="1">
      <c r="A435" s="232">
        <v>427</v>
      </c>
      <c r="B435" s="275" t="s">
        <v>225</v>
      </c>
      <c r="C435" s="275">
        <v>4</v>
      </c>
      <c r="D435" s="276" t="s">
        <v>125</v>
      </c>
      <c r="E435" s="275" t="s">
        <v>26</v>
      </c>
      <c r="F435" s="275">
        <v>9</v>
      </c>
      <c r="G435" s="234" t="s">
        <v>68</v>
      </c>
      <c r="H435" s="277">
        <v>0.3</v>
      </c>
      <c r="I435" s="263">
        <v>4</v>
      </c>
      <c r="J435" s="263">
        <v>4</v>
      </c>
      <c r="K435" s="277"/>
      <c r="L435" s="277">
        <v>0.3</v>
      </c>
      <c r="M435" s="280" t="s">
        <v>115</v>
      </c>
      <c r="N435" s="234" t="s">
        <v>430</v>
      </c>
      <c r="O435" s="281">
        <v>44217</v>
      </c>
      <c r="P435" s="275" t="s">
        <v>65</v>
      </c>
      <c r="Q435" s="263" t="s">
        <v>47</v>
      </c>
      <c r="R435" s="233"/>
      <c r="S435" s="282"/>
      <c r="T435" s="265"/>
      <c r="U435" s="265"/>
      <c r="V435" s="266"/>
      <c r="W435" s="267"/>
      <c r="X435" s="240"/>
      <c r="Z435" s="240"/>
      <c r="AA435" s="241"/>
    </row>
    <row r="436" spans="1:27" s="268" customFormat="1">
      <c r="A436" s="232">
        <v>428</v>
      </c>
      <c r="B436" s="275" t="s">
        <v>225</v>
      </c>
      <c r="C436" s="275">
        <v>4</v>
      </c>
      <c r="D436" s="276" t="s">
        <v>125</v>
      </c>
      <c r="E436" s="275" t="s">
        <v>26</v>
      </c>
      <c r="F436" s="275">
        <v>7</v>
      </c>
      <c r="G436" s="234" t="s">
        <v>85</v>
      </c>
      <c r="H436" s="277">
        <v>0.6</v>
      </c>
      <c r="I436" s="263">
        <v>7</v>
      </c>
      <c r="J436" s="263">
        <v>6</v>
      </c>
      <c r="K436" s="277"/>
      <c r="L436" s="277">
        <v>0.6</v>
      </c>
      <c r="M436" s="280" t="s">
        <v>115</v>
      </c>
      <c r="N436" s="234" t="s">
        <v>430</v>
      </c>
      <c r="O436" s="281">
        <v>44217</v>
      </c>
      <c r="P436" s="275" t="s">
        <v>65</v>
      </c>
      <c r="Q436" s="263" t="s">
        <v>47</v>
      </c>
      <c r="R436" s="233"/>
      <c r="S436" s="282"/>
      <c r="T436" s="265"/>
      <c r="U436" s="265"/>
      <c r="V436" s="266"/>
      <c r="W436" s="267"/>
      <c r="X436" s="240"/>
      <c r="Z436" s="240"/>
      <c r="AA436" s="241"/>
    </row>
    <row r="437" spans="1:27" s="268" customFormat="1">
      <c r="A437" s="232">
        <v>429</v>
      </c>
      <c r="B437" s="275" t="s">
        <v>225</v>
      </c>
      <c r="C437" s="275">
        <v>2</v>
      </c>
      <c r="D437" s="276" t="s">
        <v>125</v>
      </c>
      <c r="E437" s="275" t="s">
        <v>26</v>
      </c>
      <c r="F437" s="275">
        <v>14</v>
      </c>
      <c r="G437" s="234" t="s">
        <v>79</v>
      </c>
      <c r="H437" s="277">
        <v>1</v>
      </c>
      <c r="I437" s="263">
        <v>1</v>
      </c>
      <c r="J437" s="263">
        <v>1</v>
      </c>
      <c r="K437" s="263"/>
      <c r="L437" s="277">
        <v>1</v>
      </c>
      <c r="M437" s="280" t="s">
        <v>115</v>
      </c>
      <c r="N437" s="234" t="s">
        <v>430</v>
      </c>
      <c r="O437" s="281">
        <v>44217</v>
      </c>
      <c r="P437" s="275" t="s">
        <v>65</v>
      </c>
      <c r="Q437" s="263" t="s">
        <v>47</v>
      </c>
      <c r="R437" s="233"/>
      <c r="S437" s="282"/>
      <c r="T437" s="265"/>
      <c r="U437" s="265"/>
      <c r="V437" s="266"/>
      <c r="W437" s="267"/>
      <c r="X437" s="240"/>
      <c r="Z437" s="240"/>
      <c r="AA437" s="241"/>
    </row>
    <row r="438" spans="1:27" s="268" customFormat="1">
      <c r="A438" s="232">
        <v>430</v>
      </c>
      <c r="B438" s="275" t="s">
        <v>225</v>
      </c>
      <c r="C438" s="275">
        <v>4</v>
      </c>
      <c r="D438" s="276" t="s">
        <v>431</v>
      </c>
      <c r="E438" s="275" t="s">
        <v>28</v>
      </c>
      <c r="F438" s="275">
        <v>11</v>
      </c>
      <c r="G438" s="234" t="s">
        <v>74</v>
      </c>
      <c r="H438" s="292">
        <v>0.03</v>
      </c>
      <c r="I438" s="263">
        <v>4</v>
      </c>
      <c r="J438" s="263">
        <v>1</v>
      </c>
      <c r="K438" s="263"/>
      <c r="L438" s="292">
        <v>0.03</v>
      </c>
      <c r="M438" s="280" t="s">
        <v>115</v>
      </c>
      <c r="N438" s="234" t="s">
        <v>433</v>
      </c>
      <c r="O438" s="281">
        <v>44217</v>
      </c>
      <c r="P438" s="275" t="s">
        <v>65</v>
      </c>
      <c r="Q438" s="263" t="s">
        <v>47</v>
      </c>
      <c r="R438" s="233"/>
      <c r="S438" s="282"/>
      <c r="T438" s="265"/>
      <c r="U438" s="265"/>
      <c r="V438" s="266"/>
      <c r="W438" s="267"/>
      <c r="X438" s="240"/>
      <c r="Z438" s="240"/>
      <c r="AA438" s="241"/>
    </row>
    <row r="439" spans="1:27" s="268" customFormat="1">
      <c r="A439" s="232">
        <v>431</v>
      </c>
      <c r="B439" s="275" t="s">
        <v>225</v>
      </c>
      <c r="C439" s="275">
        <v>4</v>
      </c>
      <c r="D439" s="276" t="s">
        <v>431</v>
      </c>
      <c r="E439" s="275" t="s">
        <v>197</v>
      </c>
      <c r="F439" s="275">
        <v>11</v>
      </c>
      <c r="G439" s="234" t="s">
        <v>77</v>
      </c>
      <c r="H439" s="292">
        <v>0.05</v>
      </c>
      <c r="I439" s="263">
        <v>8</v>
      </c>
      <c r="J439" s="263">
        <v>6</v>
      </c>
      <c r="K439" s="286"/>
      <c r="L439" s="292">
        <v>0.05</v>
      </c>
      <c r="M439" s="280" t="s">
        <v>115</v>
      </c>
      <c r="N439" s="234" t="s">
        <v>433</v>
      </c>
      <c r="O439" s="281">
        <v>44217</v>
      </c>
      <c r="P439" s="275" t="s">
        <v>65</v>
      </c>
      <c r="Q439" s="263" t="s">
        <v>47</v>
      </c>
      <c r="R439" s="233"/>
      <c r="S439" s="282"/>
      <c r="T439" s="265"/>
      <c r="U439" s="265"/>
      <c r="V439" s="266"/>
      <c r="W439" s="267"/>
      <c r="X439" s="240"/>
      <c r="Z439" s="240"/>
      <c r="AA439" s="241"/>
    </row>
    <row r="440" spans="1:27" s="268" customFormat="1">
      <c r="A440" s="232">
        <v>432</v>
      </c>
      <c r="B440" s="275" t="s">
        <v>225</v>
      </c>
      <c r="C440" s="275">
        <v>4</v>
      </c>
      <c r="D440" s="276" t="s">
        <v>431</v>
      </c>
      <c r="E440" s="275" t="s">
        <v>197</v>
      </c>
      <c r="F440" s="275">
        <v>11</v>
      </c>
      <c r="G440" s="234" t="s">
        <v>98</v>
      </c>
      <c r="H440" s="292">
        <v>0.02</v>
      </c>
      <c r="I440" s="263">
        <v>4</v>
      </c>
      <c r="J440" s="263">
        <v>1</v>
      </c>
      <c r="K440" s="286"/>
      <c r="L440" s="292">
        <v>0.02</v>
      </c>
      <c r="M440" s="280" t="s">
        <v>115</v>
      </c>
      <c r="N440" s="234" t="s">
        <v>433</v>
      </c>
      <c r="O440" s="281">
        <v>44217</v>
      </c>
      <c r="P440" s="275" t="s">
        <v>65</v>
      </c>
      <c r="Q440" s="263" t="s">
        <v>47</v>
      </c>
      <c r="R440" s="233"/>
      <c r="S440" s="282"/>
      <c r="T440" s="265"/>
      <c r="U440" s="265"/>
      <c r="V440" s="266"/>
      <c r="W440" s="267"/>
      <c r="X440" s="240"/>
      <c r="Z440" s="240"/>
      <c r="AA440" s="241"/>
    </row>
    <row r="441" spans="1:27" s="268" customFormat="1">
      <c r="A441" s="232">
        <v>433</v>
      </c>
      <c r="B441" s="275" t="s">
        <v>225</v>
      </c>
      <c r="C441" s="275">
        <v>4</v>
      </c>
      <c r="D441" s="276" t="s">
        <v>431</v>
      </c>
      <c r="E441" s="275" t="s">
        <v>28</v>
      </c>
      <c r="F441" s="275">
        <v>11</v>
      </c>
      <c r="G441" s="234" t="s">
        <v>85</v>
      </c>
      <c r="H441" s="292">
        <v>0.01</v>
      </c>
      <c r="I441" s="263">
        <v>3</v>
      </c>
      <c r="J441" s="263">
        <v>1</v>
      </c>
      <c r="K441" s="286"/>
      <c r="L441" s="292">
        <v>0.01</v>
      </c>
      <c r="M441" s="280" t="s">
        <v>115</v>
      </c>
      <c r="N441" s="234" t="s">
        <v>433</v>
      </c>
      <c r="O441" s="281">
        <v>44217</v>
      </c>
      <c r="P441" s="275" t="s">
        <v>65</v>
      </c>
      <c r="Q441" s="263" t="s">
        <v>47</v>
      </c>
      <c r="R441" s="233"/>
      <c r="S441" s="282"/>
      <c r="T441" s="265"/>
      <c r="U441" s="265"/>
      <c r="V441" s="266"/>
      <c r="W441" s="267"/>
      <c r="X441" s="240"/>
      <c r="Z441" s="240"/>
      <c r="AA441" s="241"/>
    </row>
    <row r="442" spans="1:27" s="268" customFormat="1">
      <c r="A442" s="232">
        <v>434</v>
      </c>
      <c r="B442" s="275" t="s">
        <v>225</v>
      </c>
      <c r="C442" s="275">
        <v>4</v>
      </c>
      <c r="D442" s="276" t="s">
        <v>431</v>
      </c>
      <c r="E442" s="275" t="s">
        <v>26</v>
      </c>
      <c r="F442" s="275">
        <v>11</v>
      </c>
      <c r="G442" s="234" t="s">
        <v>68</v>
      </c>
      <c r="H442" s="292">
        <v>0.03</v>
      </c>
      <c r="I442" s="263">
        <v>7</v>
      </c>
      <c r="J442" s="263">
        <v>5</v>
      </c>
      <c r="K442" s="277"/>
      <c r="L442" s="292">
        <v>0.03</v>
      </c>
      <c r="M442" s="280" t="s">
        <v>115</v>
      </c>
      <c r="N442" s="234" t="s">
        <v>433</v>
      </c>
      <c r="O442" s="281">
        <v>44217</v>
      </c>
      <c r="P442" s="275" t="s">
        <v>65</v>
      </c>
      <c r="Q442" s="263" t="s">
        <v>47</v>
      </c>
      <c r="R442" s="233"/>
      <c r="S442" s="282"/>
      <c r="T442" s="265"/>
      <c r="U442" s="265"/>
      <c r="V442" s="266" t="s">
        <v>42</v>
      </c>
      <c r="W442" s="267"/>
      <c r="X442" s="240"/>
      <c r="Z442" s="240"/>
      <c r="AA442" s="241"/>
    </row>
    <row r="443" spans="1:27">
      <c r="A443" s="232">
        <v>435</v>
      </c>
      <c r="B443" s="275" t="s">
        <v>225</v>
      </c>
      <c r="C443" s="275">
        <v>4</v>
      </c>
      <c r="D443" s="276" t="s">
        <v>431</v>
      </c>
      <c r="E443" s="275" t="s">
        <v>26</v>
      </c>
      <c r="F443" s="275">
        <v>12</v>
      </c>
      <c r="G443" s="234" t="s">
        <v>71</v>
      </c>
      <c r="H443" s="292">
        <v>0.02</v>
      </c>
      <c r="I443" s="263">
        <v>4</v>
      </c>
      <c r="J443" s="263">
        <v>3</v>
      </c>
      <c r="K443" s="277"/>
      <c r="L443" s="292">
        <v>0.02</v>
      </c>
      <c r="M443" s="280" t="s">
        <v>115</v>
      </c>
      <c r="N443" s="234" t="s">
        <v>433</v>
      </c>
      <c r="O443" s="281">
        <v>44217</v>
      </c>
      <c r="P443" s="275" t="s">
        <v>65</v>
      </c>
      <c r="Q443" s="263" t="s">
        <v>47</v>
      </c>
      <c r="R443" s="233"/>
      <c r="S443" s="282"/>
      <c r="V443" s="266" t="s">
        <v>42</v>
      </c>
    </row>
    <row r="444" spans="1:27">
      <c r="A444" s="232">
        <v>436</v>
      </c>
      <c r="B444" s="275" t="s">
        <v>225</v>
      </c>
      <c r="C444" s="275">
        <v>4</v>
      </c>
      <c r="D444" s="276" t="s">
        <v>431</v>
      </c>
      <c r="E444" s="275" t="s">
        <v>26</v>
      </c>
      <c r="F444" s="275">
        <v>12</v>
      </c>
      <c r="G444" s="234" t="s">
        <v>69</v>
      </c>
      <c r="H444" s="292">
        <v>0.04</v>
      </c>
      <c r="I444" s="263">
        <v>4</v>
      </c>
      <c r="J444" s="263">
        <v>3</v>
      </c>
      <c r="K444" s="277"/>
      <c r="L444" s="292">
        <v>0.04</v>
      </c>
      <c r="M444" s="280" t="s">
        <v>115</v>
      </c>
      <c r="N444" s="234" t="s">
        <v>433</v>
      </c>
      <c r="O444" s="281">
        <v>44217</v>
      </c>
      <c r="P444" s="275" t="s">
        <v>65</v>
      </c>
      <c r="Q444" s="263" t="s">
        <v>47</v>
      </c>
      <c r="R444" s="233"/>
      <c r="S444" s="282"/>
      <c r="V444" s="266" t="s">
        <v>42</v>
      </c>
    </row>
    <row r="445" spans="1:27">
      <c r="A445" s="232">
        <v>437</v>
      </c>
      <c r="B445" s="275" t="s">
        <v>225</v>
      </c>
      <c r="C445" s="275">
        <v>4</v>
      </c>
      <c r="D445" s="276" t="s">
        <v>431</v>
      </c>
      <c r="E445" s="275" t="s">
        <v>197</v>
      </c>
      <c r="F445" s="275">
        <v>12</v>
      </c>
      <c r="G445" s="234" t="s">
        <v>67</v>
      </c>
      <c r="H445" s="292">
        <v>0.02</v>
      </c>
      <c r="I445" s="263">
        <v>4</v>
      </c>
      <c r="J445" s="263">
        <v>2</v>
      </c>
      <c r="K445" s="277"/>
      <c r="L445" s="292">
        <v>0.02</v>
      </c>
      <c r="M445" s="280" t="s">
        <v>115</v>
      </c>
      <c r="N445" s="234" t="s">
        <v>433</v>
      </c>
      <c r="O445" s="281">
        <v>44217</v>
      </c>
      <c r="P445" s="275" t="s">
        <v>65</v>
      </c>
      <c r="Q445" s="263" t="s">
        <v>47</v>
      </c>
      <c r="R445" s="233"/>
      <c r="S445" s="282"/>
      <c r="V445" s="266"/>
    </row>
    <row r="446" spans="1:27">
      <c r="A446" s="232">
        <v>438</v>
      </c>
      <c r="B446" s="275" t="s">
        <v>225</v>
      </c>
      <c r="C446" s="275">
        <v>4</v>
      </c>
      <c r="D446" s="276" t="s">
        <v>431</v>
      </c>
      <c r="E446" s="275" t="s">
        <v>28</v>
      </c>
      <c r="F446" s="275">
        <v>12</v>
      </c>
      <c r="G446" s="234" t="s">
        <v>72</v>
      </c>
      <c r="H446" s="293">
        <v>0.06</v>
      </c>
      <c r="I446" s="263">
        <v>7</v>
      </c>
      <c r="J446" s="263">
        <v>4</v>
      </c>
      <c r="K446" s="287"/>
      <c r="L446" s="293">
        <v>0.06</v>
      </c>
      <c r="M446" s="280" t="s">
        <v>115</v>
      </c>
      <c r="N446" s="234" t="s">
        <v>433</v>
      </c>
      <c r="O446" s="281">
        <v>44217</v>
      </c>
      <c r="P446" s="275" t="s">
        <v>65</v>
      </c>
      <c r="Q446" s="263" t="s">
        <v>47</v>
      </c>
      <c r="R446" s="233"/>
      <c r="S446" s="282"/>
      <c r="V446" s="266"/>
    </row>
    <row r="447" spans="1:27">
      <c r="A447" s="232">
        <v>439</v>
      </c>
      <c r="B447" s="275" t="s">
        <v>225</v>
      </c>
      <c r="C447" s="275">
        <v>4</v>
      </c>
      <c r="D447" s="276" t="s">
        <v>431</v>
      </c>
      <c r="E447" s="275" t="s">
        <v>28</v>
      </c>
      <c r="F447" s="275">
        <v>12</v>
      </c>
      <c r="G447" s="234" t="s">
        <v>74</v>
      </c>
      <c r="H447" s="293">
        <v>0.02</v>
      </c>
      <c r="I447" s="263">
        <v>2</v>
      </c>
      <c r="J447" s="263">
        <v>1</v>
      </c>
      <c r="K447" s="287"/>
      <c r="L447" s="293">
        <v>0.02</v>
      </c>
      <c r="M447" s="280" t="s">
        <v>115</v>
      </c>
      <c r="N447" s="234" t="s">
        <v>433</v>
      </c>
      <c r="O447" s="281">
        <v>44217</v>
      </c>
      <c r="P447" s="275" t="s">
        <v>65</v>
      </c>
      <c r="Q447" s="263" t="s">
        <v>47</v>
      </c>
      <c r="R447" s="233"/>
      <c r="S447" s="282"/>
      <c r="V447" s="266" t="s">
        <v>42</v>
      </c>
    </row>
    <row r="448" spans="1:27">
      <c r="A448" s="232">
        <v>440</v>
      </c>
      <c r="B448" s="275" t="s">
        <v>225</v>
      </c>
      <c r="C448" s="275">
        <v>2</v>
      </c>
      <c r="D448" s="276" t="s">
        <v>431</v>
      </c>
      <c r="E448" s="275" t="s">
        <v>26</v>
      </c>
      <c r="F448" s="275">
        <v>13</v>
      </c>
      <c r="G448" s="234" t="s">
        <v>71</v>
      </c>
      <c r="H448" s="287">
        <v>0.17</v>
      </c>
      <c r="I448" s="263">
        <v>7</v>
      </c>
      <c r="J448" s="263">
        <v>3</v>
      </c>
      <c r="K448" s="287"/>
      <c r="L448" s="287">
        <v>0.17</v>
      </c>
      <c r="M448" s="280" t="s">
        <v>115</v>
      </c>
      <c r="N448" s="234" t="s">
        <v>433</v>
      </c>
      <c r="O448" s="281">
        <v>44217</v>
      </c>
      <c r="P448" s="275" t="s">
        <v>65</v>
      </c>
      <c r="Q448" s="263" t="s">
        <v>47</v>
      </c>
      <c r="R448" s="233"/>
      <c r="S448" s="282"/>
      <c r="V448" s="266" t="s">
        <v>42</v>
      </c>
    </row>
    <row r="449" spans="1:27">
      <c r="A449" s="232">
        <v>441</v>
      </c>
      <c r="B449" s="275" t="s">
        <v>225</v>
      </c>
      <c r="C449" s="275">
        <v>2</v>
      </c>
      <c r="D449" s="276" t="s">
        <v>431</v>
      </c>
      <c r="E449" s="275" t="s">
        <v>197</v>
      </c>
      <c r="F449" s="275">
        <v>14</v>
      </c>
      <c r="G449" s="234" t="s">
        <v>432</v>
      </c>
      <c r="H449" s="279">
        <v>0.8</v>
      </c>
      <c r="I449" s="263">
        <v>8</v>
      </c>
      <c r="J449" s="263">
        <v>8</v>
      </c>
      <c r="K449" s="279"/>
      <c r="L449" s="279">
        <v>0.8</v>
      </c>
      <c r="M449" s="280" t="s">
        <v>115</v>
      </c>
      <c r="N449" s="234" t="s">
        <v>433</v>
      </c>
      <c r="O449" s="281">
        <v>44217</v>
      </c>
      <c r="P449" s="275" t="s">
        <v>65</v>
      </c>
      <c r="Q449" s="263" t="s">
        <v>47</v>
      </c>
      <c r="R449" s="233"/>
      <c r="S449" s="282"/>
      <c r="V449" s="266"/>
    </row>
    <row r="450" spans="1:27">
      <c r="A450" s="232">
        <v>442</v>
      </c>
      <c r="B450" s="275" t="s">
        <v>225</v>
      </c>
      <c r="C450" s="275">
        <v>2</v>
      </c>
      <c r="D450" s="276" t="s">
        <v>431</v>
      </c>
      <c r="E450" s="275" t="s">
        <v>26</v>
      </c>
      <c r="F450" s="275">
        <v>14</v>
      </c>
      <c r="G450" s="234" t="s">
        <v>79</v>
      </c>
      <c r="H450" s="277">
        <v>0.5</v>
      </c>
      <c r="I450" s="263">
        <v>17</v>
      </c>
      <c r="J450" s="263">
        <v>14</v>
      </c>
      <c r="K450" s="277"/>
      <c r="L450" s="277">
        <v>0.5</v>
      </c>
      <c r="M450" s="280" t="s">
        <v>115</v>
      </c>
      <c r="N450" s="234" t="s">
        <v>433</v>
      </c>
      <c r="O450" s="281">
        <v>44217</v>
      </c>
      <c r="P450" s="275" t="s">
        <v>65</v>
      </c>
      <c r="Q450" s="263" t="s">
        <v>47</v>
      </c>
      <c r="R450" s="233"/>
      <c r="S450" s="282"/>
      <c r="V450" s="266"/>
    </row>
    <row r="451" spans="1:27">
      <c r="A451" s="232">
        <v>443</v>
      </c>
      <c r="B451" s="275" t="s">
        <v>225</v>
      </c>
      <c r="C451" s="275">
        <v>2</v>
      </c>
      <c r="D451" s="276" t="s">
        <v>431</v>
      </c>
      <c r="E451" s="275" t="s">
        <v>26</v>
      </c>
      <c r="F451" s="275">
        <v>15</v>
      </c>
      <c r="G451" s="234" t="s">
        <v>69</v>
      </c>
      <c r="H451" s="277">
        <v>0.6</v>
      </c>
      <c r="I451" s="263">
        <v>27</v>
      </c>
      <c r="J451" s="263">
        <v>25</v>
      </c>
      <c r="K451" s="277"/>
      <c r="L451" s="277">
        <v>0.6</v>
      </c>
      <c r="M451" s="280" t="s">
        <v>115</v>
      </c>
      <c r="N451" s="234" t="s">
        <v>433</v>
      </c>
      <c r="O451" s="281">
        <v>44217</v>
      </c>
      <c r="P451" s="275" t="s">
        <v>65</v>
      </c>
      <c r="Q451" s="263" t="s">
        <v>47</v>
      </c>
      <c r="R451" s="233"/>
      <c r="S451" s="282"/>
      <c r="V451" s="266"/>
    </row>
    <row r="452" spans="1:27">
      <c r="A452" s="232">
        <v>444</v>
      </c>
      <c r="B452" s="275" t="s">
        <v>9</v>
      </c>
      <c r="C452" s="275">
        <v>3</v>
      </c>
      <c r="D452" s="276" t="s">
        <v>31</v>
      </c>
      <c r="E452" s="275" t="s">
        <v>26</v>
      </c>
      <c r="F452" s="275">
        <v>13</v>
      </c>
      <c r="G452" s="234" t="s">
        <v>272</v>
      </c>
      <c r="H452" s="277">
        <v>0.3</v>
      </c>
      <c r="I452" s="263">
        <v>3</v>
      </c>
      <c r="J452" s="263"/>
      <c r="K452" s="277">
        <v>0.3</v>
      </c>
      <c r="L452" s="263"/>
      <c r="M452" s="280" t="s">
        <v>115</v>
      </c>
      <c r="N452" s="234" t="s">
        <v>434</v>
      </c>
      <c r="O452" s="281">
        <v>44211</v>
      </c>
      <c r="P452" s="275" t="s">
        <v>65</v>
      </c>
      <c r="Q452" s="263" t="s">
        <v>105</v>
      </c>
      <c r="R452" s="233"/>
      <c r="S452" s="282"/>
      <c r="V452" s="266"/>
    </row>
    <row r="453" spans="1:27" ht="17.25" customHeight="1">
      <c r="A453" s="232">
        <v>445</v>
      </c>
      <c r="B453" s="275" t="s">
        <v>9</v>
      </c>
      <c r="C453" s="275">
        <v>3</v>
      </c>
      <c r="D453" s="276" t="s">
        <v>31</v>
      </c>
      <c r="E453" s="275" t="s">
        <v>26</v>
      </c>
      <c r="F453" s="275">
        <v>13</v>
      </c>
      <c r="G453" s="234" t="s">
        <v>95</v>
      </c>
      <c r="H453" s="277">
        <v>0.4</v>
      </c>
      <c r="I453" s="263">
        <v>4</v>
      </c>
      <c r="J453" s="263"/>
      <c r="K453" s="277">
        <v>0.4</v>
      </c>
      <c r="L453" s="277"/>
      <c r="M453" s="280" t="s">
        <v>115</v>
      </c>
      <c r="N453" s="234" t="s">
        <v>434</v>
      </c>
      <c r="O453" s="281">
        <v>44211</v>
      </c>
      <c r="P453" s="275" t="s">
        <v>65</v>
      </c>
      <c r="Q453" s="263" t="s">
        <v>105</v>
      </c>
      <c r="R453" s="233"/>
      <c r="S453" s="282"/>
      <c r="V453" s="266" t="s">
        <v>42</v>
      </c>
    </row>
    <row r="454" spans="1:27">
      <c r="A454" s="232">
        <v>446</v>
      </c>
      <c r="B454" s="275" t="s">
        <v>9</v>
      </c>
      <c r="C454" s="275">
        <v>3</v>
      </c>
      <c r="D454" s="276" t="s">
        <v>31</v>
      </c>
      <c r="E454" s="275" t="s">
        <v>28</v>
      </c>
      <c r="F454" s="275">
        <v>14</v>
      </c>
      <c r="G454" s="234" t="s">
        <v>132</v>
      </c>
      <c r="H454" s="277">
        <v>1.2</v>
      </c>
      <c r="I454" s="263">
        <v>4</v>
      </c>
      <c r="J454" s="263"/>
      <c r="K454" s="277">
        <v>1.2</v>
      </c>
      <c r="L454" s="277"/>
      <c r="M454" s="280" t="s">
        <v>115</v>
      </c>
      <c r="N454" s="234" t="s">
        <v>434</v>
      </c>
      <c r="O454" s="281">
        <v>44211</v>
      </c>
      <c r="P454" s="275" t="s">
        <v>65</v>
      </c>
      <c r="Q454" s="263" t="s">
        <v>105</v>
      </c>
      <c r="R454" s="233"/>
      <c r="S454" s="282"/>
      <c r="V454" s="266" t="s">
        <v>42</v>
      </c>
    </row>
    <row r="455" spans="1:27">
      <c r="A455" s="232">
        <v>447</v>
      </c>
      <c r="B455" s="275" t="s">
        <v>9</v>
      </c>
      <c r="C455" s="275">
        <v>4</v>
      </c>
      <c r="D455" s="276" t="s">
        <v>31</v>
      </c>
      <c r="E455" s="275" t="s">
        <v>26</v>
      </c>
      <c r="F455" s="275">
        <v>17</v>
      </c>
      <c r="G455" s="234" t="s">
        <v>88</v>
      </c>
      <c r="H455" s="277">
        <v>0.3</v>
      </c>
      <c r="I455" s="263">
        <v>4</v>
      </c>
      <c r="J455" s="263"/>
      <c r="K455" s="277">
        <v>0.3</v>
      </c>
      <c r="L455" s="277"/>
      <c r="M455" s="280" t="s">
        <v>115</v>
      </c>
      <c r="N455" s="234" t="s">
        <v>434</v>
      </c>
      <c r="O455" s="281">
        <v>44211</v>
      </c>
      <c r="P455" s="275" t="s">
        <v>65</v>
      </c>
      <c r="Q455" s="263" t="s">
        <v>105</v>
      </c>
      <c r="R455" s="233"/>
      <c r="S455" s="282"/>
      <c r="V455" s="266" t="s">
        <v>42</v>
      </c>
    </row>
    <row r="456" spans="1:27">
      <c r="A456" s="232">
        <v>448</v>
      </c>
      <c r="B456" s="275" t="s">
        <v>9</v>
      </c>
      <c r="C456" s="275">
        <v>3</v>
      </c>
      <c r="D456" s="276" t="s">
        <v>31</v>
      </c>
      <c r="E456" s="275" t="s">
        <v>28</v>
      </c>
      <c r="F456" s="275">
        <v>23</v>
      </c>
      <c r="G456" s="234" t="s">
        <v>71</v>
      </c>
      <c r="H456" s="277">
        <v>0.5</v>
      </c>
      <c r="I456" s="263">
        <v>3</v>
      </c>
      <c r="J456" s="263"/>
      <c r="K456" s="277">
        <v>0.5</v>
      </c>
      <c r="L456" s="277"/>
      <c r="M456" s="280" t="s">
        <v>115</v>
      </c>
      <c r="N456" s="234" t="s">
        <v>434</v>
      </c>
      <c r="O456" s="281">
        <v>44211</v>
      </c>
      <c r="P456" s="275" t="s">
        <v>65</v>
      </c>
      <c r="Q456" s="263" t="s">
        <v>105</v>
      </c>
      <c r="R456" s="233"/>
      <c r="S456" s="282"/>
      <c r="V456" s="266" t="s">
        <v>42</v>
      </c>
    </row>
    <row r="457" spans="1:27">
      <c r="A457" s="232">
        <v>449</v>
      </c>
      <c r="B457" s="275" t="s">
        <v>9</v>
      </c>
      <c r="C457" s="275">
        <v>3</v>
      </c>
      <c r="D457" s="276" t="s">
        <v>31</v>
      </c>
      <c r="E457" s="275" t="s">
        <v>26</v>
      </c>
      <c r="F457" s="275">
        <v>23</v>
      </c>
      <c r="G457" s="234" t="s">
        <v>258</v>
      </c>
      <c r="H457" s="277">
        <v>1.9</v>
      </c>
      <c r="I457" s="263">
        <v>7</v>
      </c>
      <c r="J457" s="263"/>
      <c r="K457" s="277">
        <v>1.9</v>
      </c>
      <c r="L457" s="277"/>
      <c r="M457" s="280" t="s">
        <v>115</v>
      </c>
      <c r="N457" s="234" t="s">
        <v>434</v>
      </c>
      <c r="O457" s="281">
        <v>44211</v>
      </c>
      <c r="P457" s="275" t="s">
        <v>65</v>
      </c>
      <c r="Q457" s="263" t="s">
        <v>105</v>
      </c>
      <c r="R457" s="233"/>
      <c r="S457" s="282"/>
      <c r="V457" s="266" t="s">
        <v>42</v>
      </c>
    </row>
    <row r="458" spans="1:27">
      <c r="A458" s="232">
        <v>450</v>
      </c>
      <c r="B458" s="275" t="s">
        <v>9</v>
      </c>
      <c r="C458" s="275">
        <v>3</v>
      </c>
      <c r="D458" s="276" t="s">
        <v>31</v>
      </c>
      <c r="E458" s="275" t="s">
        <v>26</v>
      </c>
      <c r="F458" s="275">
        <v>23</v>
      </c>
      <c r="G458" s="234" t="s">
        <v>420</v>
      </c>
      <c r="H458" s="277">
        <v>1.6</v>
      </c>
      <c r="I458" s="263">
        <v>6</v>
      </c>
      <c r="J458" s="263"/>
      <c r="K458" s="277">
        <v>1.6</v>
      </c>
      <c r="L458" s="277"/>
      <c r="M458" s="280" t="s">
        <v>115</v>
      </c>
      <c r="N458" s="234" t="s">
        <v>434</v>
      </c>
      <c r="O458" s="281">
        <v>44211</v>
      </c>
      <c r="P458" s="275" t="s">
        <v>65</v>
      </c>
      <c r="Q458" s="263" t="s">
        <v>105</v>
      </c>
      <c r="R458" s="233"/>
      <c r="S458" s="282"/>
      <c r="V458" s="266"/>
    </row>
    <row r="459" spans="1:27">
      <c r="A459" s="232">
        <v>451</v>
      </c>
      <c r="B459" s="275" t="s">
        <v>9</v>
      </c>
      <c r="C459" s="275">
        <v>4</v>
      </c>
      <c r="D459" s="276" t="s">
        <v>31</v>
      </c>
      <c r="E459" s="275" t="s">
        <v>26</v>
      </c>
      <c r="F459" s="275">
        <v>29</v>
      </c>
      <c r="G459" s="234" t="s">
        <v>69</v>
      </c>
      <c r="H459" s="277">
        <v>0.3</v>
      </c>
      <c r="I459" s="263">
        <v>7</v>
      </c>
      <c r="J459" s="263"/>
      <c r="K459" s="277">
        <v>0.3</v>
      </c>
      <c r="L459" s="277"/>
      <c r="M459" s="280" t="s">
        <v>115</v>
      </c>
      <c r="N459" s="234" t="s">
        <v>434</v>
      </c>
      <c r="O459" s="281">
        <v>44211</v>
      </c>
      <c r="P459" s="275" t="s">
        <v>65</v>
      </c>
      <c r="Q459" s="263" t="s">
        <v>105</v>
      </c>
      <c r="R459" s="233"/>
      <c r="S459" s="282"/>
      <c r="V459" s="266" t="s">
        <v>42</v>
      </c>
    </row>
    <row r="460" spans="1:27" s="267" customFormat="1">
      <c r="A460" s="232">
        <v>452</v>
      </c>
      <c r="B460" s="275" t="s">
        <v>9</v>
      </c>
      <c r="C460" s="275">
        <v>4</v>
      </c>
      <c r="D460" s="276" t="s">
        <v>31</v>
      </c>
      <c r="E460" s="275" t="s">
        <v>28</v>
      </c>
      <c r="F460" s="275">
        <v>39</v>
      </c>
      <c r="G460" s="234" t="s">
        <v>100</v>
      </c>
      <c r="H460" s="277">
        <v>2.9</v>
      </c>
      <c r="I460" s="263">
        <v>6</v>
      </c>
      <c r="J460" s="263"/>
      <c r="K460" s="277">
        <v>2.9</v>
      </c>
      <c r="L460" s="277"/>
      <c r="M460" s="280" t="s">
        <v>115</v>
      </c>
      <c r="N460" s="234" t="s">
        <v>434</v>
      </c>
      <c r="O460" s="281">
        <v>44211</v>
      </c>
      <c r="P460" s="275" t="s">
        <v>65</v>
      </c>
      <c r="Q460" s="263" t="s">
        <v>105</v>
      </c>
      <c r="R460" s="233"/>
      <c r="S460" s="282"/>
      <c r="T460" s="265"/>
      <c r="U460" s="265"/>
      <c r="V460" s="266" t="s">
        <v>42</v>
      </c>
      <c r="X460" s="240"/>
      <c r="Y460" s="268"/>
      <c r="Z460" s="240"/>
      <c r="AA460" s="241"/>
    </row>
    <row r="461" spans="1:27" s="267" customFormat="1">
      <c r="A461" s="232">
        <v>453</v>
      </c>
      <c r="B461" s="275" t="s">
        <v>9</v>
      </c>
      <c r="C461" s="275">
        <v>4</v>
      </c>
      <c r="D461" s="276" t="s">
        <v>31</v>
      </c>
      <c r="E461" s="275" t="s">
        <v>26</v>
      </c>
      <c r="F461" s="275">
        <v>45</v>
      </c>
      <c r="G461" s="234" t="s">
        <v>68</v>
      </c>
      <c r="H461" s="277">
        <v>2.2000000000000002</v>
      </c>
      <c r="I461" s="263">
        <v>4</v>
      </c>
      <c r="J461" s="263"/>
      <c r="K461" s="277">
        <v>2.2000000000000002</v>
      </c>
      <c r="L461" s="277"/>
      <c r="M461" s="280" t="s">
        <v>115</v>
      </c>
      <c r="N461" s="234" t="s">
        <v>434</v>
      </c>
      <c r="O461" s="281">
        <v>44211</v>
      </c>
      <c r="P461" s="275" t="s">
        <v>65</v>
      </c>
      <c r="Q461" s="263" t="s">
        <v>105</v>
      </c>
      <c r="R461" s="233"/>
      <c r="S461" s="282"/>
      <c r="T461" s="265"/>
      <c r="U461" s="265"/>
      <c r="V461" s="266" t="s">
        <v>60</v>
      </c>
      <c r="X461" s="240"/>
      <c r="Y461" s="268"/>
      <c r="Z461" s="240"/>
      <c r="AA461" s="241"/>
    </row>
    <row r="462" spans="1:27" s="267" customFormat="1">
      <c r="A462" s="232">
        <v>454</v>
      </c>
      <c r="B462" s="275" t="s">
        <v>9</v>
      </c>
      <c r="C462" s="275">
        <v>4</v>
      </c>
      <c r="D462" s="276" t="s">
        <v>31</v>
      </c>
      <c r="E462" s="275" t="s">
        <v>28</v>
      </c>
      <c r="F462" s="275">
        <v>49</v>
      </c>
      <c r="G462" s="234" t="s">
        <v>83</v>
      </c>
      <c r="H462" s="277">
        <v>1.8</v>
      </c>
      <c r="I462" s="263">
        <v>7</v>
      </c>
      <c r="J462" s="263"/>
      <c r="K462" s="277">
        <v>1.8</v>
      </c>
      <c r="L462" s="277"/>
      <c r="M462" s="280" t="s">
        <v>115</v>
      </c>
      <c r="N462" s="234" t="s">
        <v>434</v>
      </c>
      <c r="O462" s="281">
        <v>44211</v>
      </c>
      <c r="P462" s="275" t="s">
        <v>65</v>
      </c>
      <c r="Q462" s="263" t="s">
        <v>105</v>
      </c>
      <c r="R462" s="233"/>
      <c r="S462" s="282"/>
      <c r="T462" s="265"/>
      <c r="U462" s="265"/>
      <c r="V462" s="266" t="s">
        <v>60</v>
      </c>
      <c r="X462" s="240"/>
      <c r="Y462" s="268"/>
      <c r="Z462" s="240"/>
      <c r="AA462" s="241"/>
    </row>
    <row r="463" spans="1:27" s="267" customFormat="1">
      <c r="A463" s="232">
        <v>455</v>
      </c>
      <c r="B463" s="275" t="s">
        <v>9</v>
      </c>
      <c r="C463" s="275">
        <v>4</v>
      </c>
      <c r="D463" s="276" t="s">
        <v>23</v>
      </c>
      <c r="E463" s="275" t="s">
        <v>26</v>
      </c>
      <c r="F463" s="275">
        <v>17</v>
      </c>
      <c r="G463" s="234" t="s">
        <v>86</v>
      </c>
      <c r="H463" s="277">
        <v>0.9</v>
      </c>
      <c r="I463" s="263">
        <v>26</v>
      </c>
      <c r="J463" s="263">
        <v>12</v>
      </c>
      <c r="K463" s="277">
        <v>0.9</v>
      </c>
      <c r="L463" s="277"/>
      <c r="M463" s="280" t="s">
        <v>115</v>
      </c>
      <c r="N463" s="234" t="s">
        <v>435</v>
      </c>
      <c r="O463" s="281">
        <v>44211</v>
      </c>
      <c r="P463" s="275" t="s">
        <v>65</v>
      </c>
      <c r="Q463" s="263" t="s">
        <v>105</v>
      </c>
      <c r="R463" s="233"/>
      <c r="S463" s="282"/>
      <c r="T463" s="265"/>
      <c r="U463" s="265"/>
      <c r="V463" s="266" t="s">
        <v>60</v>
      </c>
      <c r="X463" s="240"/>
      <c r="Y463" s="268"/>
      <c r="Z463" s="240"/>
      <c r="AA463" s="241"/>
    </row>
    <row r="464" spans="1:27" s="267" customFormat="1">
      <c r="A464" s="232">
        <v>456</v>
      </c>
      <c r="B464" s="275" t="s">
        <v>9</v>
      </c>
      <c r="C464" s="275">
        <v>4</v>
      </c>
      <c r="D464" s="276" t="s">
        <v>23</v>
      </c>
      <c r="E464" s="275" t="s">
        <v>197</v>
      </c>
      <c r="F464" s="275">
        <v>28</v>
      </c>
      <c r="G464" s="234" t="s">
        <v>77</v>
      </c>
      <c r="H464" s="277">
        <v>1.2</v>
      </c>
      <c r="I464" s="263">
        <v>41</v>
      </c>
      <c r="J464" s="263">
        <v>14</v>
      </c>
      <c r="K464" s="277">
        <v>1.2</v>
      </c>
      <c r="L464" s="277"/>
      <c r="M464" s="280" t="s">
        <v>115</v>
      </c>
      <c r="N464" s="234" t="s">
        <v>435</v>
      </c>
      <c r="O464" s="281">
        <v>44211</v>
      </c>
      <c r="P464" s="275" t="s">
        <v>65</v>
      </c>
      <c r="Q464" s="263" t="s">
        <v>105</v>
      </c>
      <c r="R464" s="233"/>
      <c r="S464" s="282"/>
      <c r="T464" s="265"/>
      <c r="U464" s="265"/>
      <c r="V464" s="266" t="s">
        <v>60</v>
      </c>
      <c r="X464" s="240"/>
      <c r="Y464" s="268"/>
      <c r="Z464" s="240"/>
      <c r="AA464" s="241"/>
    </row>
    <row r="465" spans="1:27" s="267" customFormat="1">
      <c r="A465" s="232">
        <v>457</v>
      </c>
      <c r="B465" s="275" t="s">
        <v>9</v>
      </c>
      <c r="C465" s="275">
        <v>4</v>
      </c>
      <c r="D465" s="276" t="s">
        <v>23</v>
      </c>
      <c r="E465" s="275" t="s">
        <v>197</v>
      </c>
      <c r="F465" s="275">
        <v>28</v>
      </c>
      <c r="G465" s="234" t="s">
        <v>75</v>
      </c>
      <c r="H465" s="277">
        <v>0.9</v>
      </c>
      <c r="I465" s="263">
        <v>40</v>
      </c>
      <c r="J465" s="263">
        <v>23</v>
      </c>
      <c r="K465" s="277">
        <v>0.9</v>
      </c>
      <c r="L465" s="277"/>
      <c r="M465" s="280" t="s">
        <v>115</v>
      </c>
      <c r="N465" s="234" t="s">
        <v>435</v>
      </c>
      <c r="O465" s="281">
        <v>44211</v>
      </c>
      <c r="P465" s="275" t="s">
        <v>65</v>
      </c>
      <c r="Q465" s="263" t="s">
        <v>105</v>
      </c>
      <c r="R465" s="233"/>
      <c r="S465" s="282"/>
      <c r="T465" s="265"/>
      <c r="U465" s="265"/>
      <c r="V465" s="266"/>
      <c r="X465" s="240"/>
      <c r="Y465" s="268"/>
      <c r="Z465" s="240"/>
      <c r="AA465" s="241"/>
    </row>
    <row r="466" spans="1:27" s="267" customFormat="1">
      <c r="A466" s="232">
        <v>458</v>
      </c>
      <c r="B466" s="275" t="s">
        <v>9</v>
      </c>
      <c r="C466" s="275">
        <v>4</v>
      </c>
      <c r="D466" s="276" t="s">
        <v>23</v>
      </c>
      <c r="E466" s="275" t="s">
        <v>129</v>
      </c>
      <c r="F466" s="275">
        <v>54</v>
      </c>
      <c r="G466" s="234" t="s">
        <v>72</v>
      </c>
      <c r="H466" s="277">
        <v>1.2</v>
      </c>
      <c r="I466" s="263">
        <v>30</v>
      </c>
      <c r="J466" s="263">
        <v>16</v>
      </c>
      <c r="K466" s="277">
        <v>1.2</v>
      </c>
      <c r="L466" s="277"/>
      <c r="M466" s="280" t="s">
        <v>115</v>
      </c>
      <c r="N466" s="234" t="s">
        <v>435</v>
      </c>
      <c r="O466" s="281">
        <v>44211</v>
      </c>
      <c r="P466" s="275" t="s">
        <v>65</v>
      </c>
      <c r="Q466" s="263" t="s">
        <v>105</v>
      </c>
      <c r="R466" s="233"/>
      <c r="S466" s="282"/>
      <c r="T466" s="265"/>
      <c r="U466" s="265"/>
      <c r="V466" s="266"/>
      <c r="X466" s="240"/>
      <c r="Y466" s="268"/>
      <c r="Z466" s="240"/>
      <c r="AA466" s="241"/>
    </row>
    <row r="467" spans="1:27" s="267" customFormat="1">
      <c r="A467" s="232">
        <v>459</v>
      </c>
      <c r="B467" s="275" t="s">
        <v>9</v>
      </c>
      <c r="C467" s="275">
        <v>4</v>
      </c>
      <c r="D467" s="276" t="s">
        <v>23</v>
      </c>
      <c r="E467" s="275" t="s">
        <v>28</v>
      </c>
      <c r="F467" s="275">
        <v>55</v>
      </c>
      <c r="G467" s="234" t="s">
        <v>67</v>
      </c>
      <c r="H467" s="277">
        <v>1.1000000000000001</v>
      </c>
      <c r="I467" s="263">
        <v>26</v>
      </c>
      <c r="J467" s="263">
        <v>20</v>
      </c>
      <c r="K467" s="277">
        <v>1.1000000000000001</v>
      </c>
      <c r="L467" s="277"/>
      <c r="M467" s="280" t="s">
        <v>115</v>
      </c>
      <c r="N467" s="234" t="s">
        <v>435</v>
      </c>
      <c r="O467" s="281">
        <v>44211</v>
      </c>
      <c r="P467" s="275" t="s">
        <v>65</v>
      </c>
      <c r="Q467" s="263" t="s">
        <v>105</v>
      </c>
      <c r="R467" s="233"/>
      <c r="S467" s="282"/>
      <c r="T467" s="265"/>
      <c r="U467" s="265"/>
      <c r="V467" s="266"/>
      <c r="X467" s="240"/>
      <c r="Y467" s="268"/>
      <c r="Z467" s="240"/>
      <c r="AA467" s="241"/>
    </row>
    <row r="468" spans="1:27" s="267" customFormat="1">
      <c r="A468" s="232">
        <v>460</v>
      </c>
      <c r="B468" s="275" t="s">
        <v>9</v>
      </c>
      <c r="C468" s="275">
        <v>4</v>
      </c>
      <c r="D468" s="276" t="s">
        <v>24</v>
      </c>
      <c r="E468" s="275" t="s">
        <v>26</v>
      </c>
      <c r="F468" s="275">
        <v>45</v>
      </c>
      <c r="G468" s="234" t="s">
        <v>69</v>
      </c>
      <c r="H468" s="277">
        <v>1.4</v>
      </c>
      <c r="I468" s="263">
        <v>35</v>
      </c>
      <c r="J468" s="263">
        <v>32</v>
      </c>
      <c r="K468" s="286">
        <v>1.4</v>
      </c>
      <c r="L468" s="277"/>
      <c r="M468" s="280" t="s">
        <v>115</v>
      </c>
      <c r="N468" s="234" t="s">
        <v>436</v>
      </c>
      <c r="O468" s="281">
        <v>44201</v>
      </c>
      <c r="P468" s="275" t="s">
        <v>65</v>
      </c>
      <c r="Q468" s="263" t="s">
        <v>105</v>
      </c>
      <c r="R468" s="233"/>
      <c r="S468" s="282"/>
      <c r="T468" s="265"/>
      <c r="U468" s="265"/>
      <c r="V468" s="266"/>
      <c r="X468" s="240"/>
      <c r="Y468" s="268"/>
      <c r="Z468" s="240"/>
      <c r="AA468" s="241"/>
    </row>
    <row r="469" spans="1:27" s="267" customFormat="1">
      <c r="A469" s="232">
        <v>461</v>
      </c>
      <c r="B469" s="275" t="s">
        <v>9</v>
      </c>
      <c r="C469" s="275">
        <v>3</v>
      </c>
      <c r="D469" s="276" t="s">
        <v>32</v>
      </c>
      <c r="E469" s="275" t="s">
        <v>28</v>
      </c>
      <c r="F469" s="283">
        <v>12</v>
      </c>
      <c r="G469" s="283">
        <v>7</v>
      </c>
      <c r="H469" s="284">
        <v>1.1000000000000001</v>
      </c>
      <c r="I469" s="285">
        <v>35</v>
      </c>
      <c r="J469" s="233">
        <v>26</v>
      </c>
      <c r="K469" s="284">
        <v>1.1000000000000001</v>
      </c>
      <c r="L469" s="277"/>
      <c r="M469" s="280" t="s">
        <v>115</v>
      </c>
      <c r="N469" s="234" t="s">
        <v>437</v>
      </c>
      <c r="O469" s="281">
        <v>44217</v>
      </c>
      <c r="P469" s="275" t="s">
        <v>65</v>
      </c>
      <c r="Q469" s="263" t="s">
        <v>105</v>
      </c>
      <c r="R469" s="233"/>
      <c r="S469" s="282"/>
      <c r="T469" s="265"/>
      <c r="U469" s="265"/>
      <c r="V469" s="266"/>
      <c r="X469" s="240"/>
      <c r="Y469" s="268"/>
      <c r="Z469" s="240"/>
      <c r="AA469" s="241"/>
    </row>
    <row r="470" spans="1:27" s="267" customFormat="1">
      <c r="A470" s="232">
        <v>462</v>
      </c>
      <c r="B470" s="275" t="s">
        <v>9</v>
      </c>
      <c r="C470" s="275">
        <v>3</v>
      </c>
      <c r="D470" s="276" t="s">
        <v>32</v>
      </c>
      <c r="E470" s="275" t="s">
        <v>26</v>
      </c>
      <c r="F470" s="283">
        <v>13</v>
      </c>
      <c r="G470" s="283">
        <v>15</v>
      </c>
      <c r="H470" s="284">
        <v>5</v>
      </c>
      <c r="I470" s="285">
        <v>131</v>
      </c>
      <c r="J470" s="233">
        <v>121</v>
      </c>
      <c r="K470" s="284">
        <v>5</v>
      </c>
      <c r="L470" s="277"/>
      <c r="M470" s="280" t="s">
        <v>115</v>
      </c>
      <c r="N470" s="234" t="s">
        <v>437</v>
      </c>
      <c r="O470" s="281">
        <v>44217</v>
      </c>
      <c r="P470" s="275" t="s">
        <v>65</v>
      </c>
      <c r="Q470" s="263" t="s">
        <v>105</v>
      </c>
      <c r="R470" s="233"/>
      <c r="S470" s="282"/>
      <c r="T470" s="265"/>
      <c r="U470" s="265"/>
      <c r="V470" s="266"/>
      <c r="X470" s="240"/>
      <c r="Y470" s="268"/>
      <c r="Z470" s="240"/>
      <c r="AA470" s="241"/>
    </row>
    <row r="471" spans="1:27" s="267" customFormat="1">
      <c r="A471" s="232">
        <v>463</v>
      </c>
      <c r="B471" s="275" t="s">
        <v>9</v>
      </c>
      <c r="C471" s="275">
        <v>3</v>
      </c>
      <c r="D471" s="276" t="s">
        <v>32</v>
      </c>
      <c r="E471" s="275" t="s">
        <v>28</v>
      </c>
      <c r="F471" s="283">
        <v>13</v>
      </c>
      <c r="G471" s="283">
        <v>17</v>
      </c>
      <c r="H471" s="285">
        <v>1.2</v>
      </c>
      <c r="I471" s="285">
        <v>54</v>
      </c>
      <c r="J471" s="233">
        <v>41</v>
      </c>
      <c r="K471" s="285">
        <v>1.2</v>
      </c>
      <c r="L471" s="277"/>
      <c r="M471" s="280" t="s">
        <v>115</v>
      </c>
      <c r="N471" s="234" t="s">
        <v>437</v>
      </c>
      <c r="O471" s="281">
        <v>44217</v>
      </c>
      <c r="P471" s="275" t="s">
        <v>65</v>
      </c>
      <c r="Q471" s="263" t="s">
        <v>105</v>
      </c>
      <c r="R471" s="233"/>
      <c r="S471" s="282"/>
      <c r="T471" s="265"/>
      <c r="U471" s="265"/>
      <c r="V471" s="266"/>
      <c r="X471" s="240"/>
      <c r="Y471" s="268"/>
      <c r="Z471" s="240"/>
      <c r="AA471" s="241"/>
    </row>
    <row r="472" spans="1:27" s="267" customFormat="1">
      <c r="A472" s="232">
        <v>464</v>
      </c>
      <c r="B472" s="275" t="s">
        <v>9</v>
      </c>
      <c r="C472" s="275">
        <v>3</v>
      </c>
      <c r="D472" s="276" t="s">
        <v>32</v>
      </c>
      <c r="E472" s="275" t="s">
        <v>28</v>
      </c>
      <c r="F472" s="283">
        <v>15</v>
      </c>
      <c r="G472" s="283" t="s">
        <v>77</v>
      </c>
      <c r="H472" s="285">
        <v>2.9</v>
      </c>
      <c r="I472" s="285">
        <v>99</v>
      </c>
      <c r="J472" s="233">
        <v>74</v>
      </c>
      <c r="K472" s="285">
        <v>2.9</v>
      </c>
      <c r="L472" s="277"/>
      <c r="M472" s="280" t="s">
        <v>115</v>
      </c>
      <c r="N472" s="234" t="s">
        <v>437</v>
      </c>
      <c r="O472" s="281">
        <v>44217</v>
      </c>
      <c r="P472" s="275" t="s">
        <v>65</v>
      </c>
      <c r="Q472" s="263" t="s">
        <v>105</v>
      </c>
      <c r="R472" s="233"/>
      <c r="S472" s="282"/>
      <c r="T472" s="265"/>
      <c r="U472" s="265"/>
      <c r="V472" s="266"/>
      <c r="X472" s="240"/>
      <c r="Y472" s="268"/>
      <c r="Z472" s="240"/>
      <c r="AA472" s="241"/>
    </row>
    <row r="473" spans="1:27" s="267" customFormat="1">
      <c r="A473" s="232">
        <v>465</v>
      </c>
      <c r="B473" s="275" t="s">
        <v>9</v>
      </c>
      <c r="C473" s="275">
        <v>3</v>
      </c>
      <c r="D473" s="276" t="s">
        <v>32</v>
      </c>
      <c r="E473" s="275" t="s">
        <v>28</v>
      </c>
      <c r="F473" s="283">
        <v>15</v>
      </c>
      <c r="G473" s="283" t="s">
        <v>88</v>
      </c>
      <c r="H473" s="284">
        <v>5</v>
      </c>
      <c r="I473" s="285">
        <v>130</v>
      </c>
      <c r="J473" s="233">
        <v>91</v>
      </c>
      <c r="K473" s="284">
        <v>5</v>
      </c>
      <c r="L473" s="277"/>
      <c r="M473" s="280" t="s">
        <v>115</v>
      </c>
      <c r="N473" s="234" t="s">
        <v>437</v>
      </c>
      <c r="O473" s="281">
        <v>44217</v>
      </c>
      <c r="P473" s="275" t="s">
        <v>65</v>
      </c>
      <c r="Q473" s="263" t="s">
        <v>105</v>
      </c>
      <c r="R473" s="233"/>
      <c r="S473" s="282"/>
      <c r="T473" s="265"/>
      <c r="U473" s="265"/>
      <c r="V473" s="266"/>
      <c r="X473" s="240"/>
      <c r="Y473" s="268"/>
      <c r="Z473" s="240"/>
      <c r="AA473" s="241"/>
    </row>
    <row r="474" spans="1:27" s="267" customFormat="1">
      <c r="A474" s="232">
        <v>466</v>
      </c>
      <c r="B474" s="275" t="s">
        <v>9</v>
      </c>
      <c r="C474" s="275">
        <v>3</v>
      </c>
      <c r="D474" s="276" t="s">
        <v>32</v>
      </c>
      <c r="E474" s="275" t="s">
        <v>28</v>
      </c>
      <c r="F474" s="283">
        <v>21</v>
      </c>
      <c r="G474" s="283" t="s">
        <v>69</v>
      </c>
      <c r="H474" s="285">
        <v>1.5</v>
      </c>
      <c r="I474" s="285">
        <v>48</v>
      </c>
      <c r="J474" s="233">
        <v>38</v>
      </c>
      <c r="K474" s="285">
        <v>1.5</v>
      </c>
      <c r="L474" s="277"/>
      <c r="M474" s="280" t="s">
        <v>115</v>
      </c>
      <c r="N474" s="234" t="s">
        <v>437</v>
      </c>
      <c r="O474" s="281">
        <v>44217</v>
      </c>
      <c r="P474" s="275" t="s">
        <v>65</v>
      </c>
      <c r="Q474" s="263" t="s">
        <v>105</v>
      </c>
      <c r="R474" s="233"/>
      <c r="S474" s="282"/>
      <c r="T474" s="265"/>
      <c r="U474" s="265"/>
      <c r="V474" s="266"/>
      <c r="X474" s="240"/>
      <c r="Y474" s="268"/>
      <c r="Z474" s="240"/>
      <c r="AA474" s="241"/>
    </row>
    <row r="475" spans="1:27" s="267" customFormat="1">
      <c r="A475" s="232">
        <v>467</v>
      </c>
      <c r="B475" s="275" t="s">
        <v>9</v>
      </c>
      <c r="C475" s="275">
        <v>3</v>
      </c>
      <c r="D475" s="276" t="s">
        <v>32</v>
      </c>
      <c r="E475" s="275" t="s">
        <v>26</v>
      </c>
      <c r="F475" s="283">
        <v>24</v>
      </c>
      <c r="G475" s="283" t="s">
        <v>72</v>
      </c>
      <c r="H475" s="284">
        <v>2.5</v>
      </c>
      <c r="I475" s="285">
        <v>59</v>
      </c>
      <c r="J475" s="233">
        <v>55</v>
      </c>
      <c r="K475" s="284">
        <v>2.5</v>
      </c>
      <c r="L475" s="277"/>
      <c r="M475" s="280" t="s">
        <v>115</v>
      </c>
      <c r="N475" s="234" t="s">
        <v>437</v>
      </c>
      <c r="O475" s="281">
        <v>44217</v>
      </c>
      <c r="P475" s="275" t="s">
        <v>65</v>
      </c>
      <c r="Q475" s="263" t="s">
        <v>105</v>
      </c>
      <c r="R475" s="233"/>
      <c r="S475" s="282"/>
      <c r="T475" s="265"/>
      <c r="U475" s="265"/>
      <c r="V475" s="266"/>
      <c r="X475" s="240"/>
      <c r="Y475" s="268"/>
      <c r="Z475" s="240"/>
      <c r="AA475" s="241"/>
    </row>
    <row r="476" spans="1:27" s="267" customFormat="1">
      <c r="A476" s="232">
        <v>468</v>
      </c>
      <c r="B476" s="275" t="s">
        <v>9</v>
      </c>
      <c r="C476" s="275">
        <v>3</v>
      </c>
      <c r="D476" s="276" t="s">
        <v>32</v>
      </c>
      <c r="E476" s="275" t="s">
        <v>28</v>
      </c>
      <c r="F476" s="283">
        <v>24</v>
      </c>
      <c r="G476" s="283" t="s">
        <v>74</v>
      </c>
      <c r="H476" s="284">
        <v>1.3</v>
      </c>
      <c r="I476" s="285">
        <v>65</v>
      </c>
      <c r="J476" s="233">
        <v>46</v>
      </c>
      <c r="K476" s="284">
        <v>1.3</v>
      </c>
      <c r="L476" s="277"/>
      <c r="M476" s="280" t="s">
        <v>115</v>
      </c>
      <c r="N476" s="234" t="s">
        <v>437</v>
      </c>
      <c r="O476" s="281">
        <v>44217</v>
      </c>
      <c r="P476" s="275" t="s">
        <v>65</v>
      </c>
      <c r="Q476" s="263" t="s">
        <v>105</v>
      </c>
      <c r="R476" s="233"/>
      <c r="S476" s="282"/>
      <c r="T476" s="265"/>
      <c r="U476" s="265"/>
      <c r="V476" s="266"/>
      <c r="X476" s="240"/>
      <c r="Y476" s="268"/>
      <c r="Z476" s="240"/>
      <c r="AA476" s="241"/>
    </row>
    <row r="477" spans="1:27" s="267" customFormat="1">
      <c r="A477" s="232">
        <v>469</v>
      </c>
      <c r="B477" s="275" t="s">
        <v>9</v>
      </c>
      <c r="C477" s="275">
        <v>4</v>
      </c>
      <c r="D477" s="276" t="s">
        <v>32</v>
      </c>
      <c r="E477" s="275" t="s">
        <v>28</v>
      </c>
      <c r="F477" s="283">
        <v>26</v>
      </c>
      <c r="G477" s="283" t="s">
        <v>71</v>
      </c>
      <c r="H477" s="285">
        <v>0.7</v>
      </c>
      <c r="I477" s="285">
        <v>47</v>
      </c>
      <c r="J477" s="233">
        <v>42</v>
      </c>
      <c r="K477" s="285">
        <v>0.7</v>
      </c>
      <c r="L477" s="277"/>
      <c r="M477" s="280" t="s">
        <v>115</v>
      </c>
      <c r="N477" s="234" t="s">
        <v>437</v>
      </c>
      <c r="O477" s="281">
        <v>44217</v>
      </c>
      <c r="P477" s="275" t="s">
        <v>65</v>
      </c>
      <c r="Q477" s="263" t="s">
        <v>105</v>
      </c>
      <c r="R477" s="233"/>
      <c r="S477" s="282"/>
      <c r="T477" s="265"/>
      <c r="U477" s="265"/>
      <c r="V477" s="266"/>
      <c r="X477" s="240"/>
      <c r="Y477" s="268"/>
      <c r="Z477" s="240"/>
      <c r="AA477" s="241"/>
    </row>
    <row r="478" spans="1:27" s="267" customFormat="1">
      <c r="A478" s="232">
        <v>470</v>
      </c>
      <c r="B478" s="275" t="s">
        <v>9</v>
      </c>
      <c r="C478" s="275">
        <v>4</v>
      </c>
      <c r="D478" s="276" t="s">
        <v>32</v>
      </c>
      <c r="E478" s="275" t="s">
        <v>28</v>
      </c>
      <c r="F478" s="283">
        <v>27</v>
      </c>
      <c r="G478" s="283" t="s">
        <v>86</v>
      </c>
      <c r="H478" s="285">
        <v>2.7</v>
      </c>
      <c r="I478" s="285">
        <v>50</v>
      </c>
      <c r="J478" s="233">
        <v>46</v>
      </c>
      <c r="K478" s="285">
        <v>2.7</v>
      </c>
      <c r="L478" s="277"/>
      <c r="M478" s="280" t="s">
        <v>115</v>
      </c>
      <c r="N478" s="234" t="s">
        <v>437</v>
      </c>
      <c r="O478" s="281">
        <v>44217</v>
      </c>
      <c r="P478" s="275" t="s">
        <v>65</v>
      </c>
      <c r="Q478" s="263" t="s">
        <v>105</v>
      </c>
      <c r="R478" s="233"/>
      <c r="S478" s="282"/>
      <c r="T478" s="265"/>
      <c r="U478" s="265"/>
      <c r="V478" s="266"/>
      <c r="X478" s="240"/>
      <c r="Y478" s="268"/>
      <c r="Z478" s="240"/>
      <c r="AA478" s="241"/>
    </row>
    <row r="479" spans="1:27" s="267" customFormat="1">
      <c r="A479" s="232">
        <v>471</v>
      </c>
      <c r="B479" s="275" t="s">
        <v>9</v>
      </c>
      <c r="C479" s="275">
        <v>4</v>
      </c>
      <c r="D479" s="276" t="s">
        <v>32</v>
      </c>
      <c r="E479" s="275" t="s">
        <v>28</v>
      </c>
      <c r="F479" s="283">
        <v>34</v>
      </c>
      <c r="G479" s="283" t="s">
        <v>75</v>
      </c>
      <c r="H479" s="284">
        <v>2</v>
      </c>
      <c r="I479" s="285">
        <v>55</v>
      </c>
      <c r="J479" s="233">
        <v>37</v>
      </c>
      <c r="K479" s="284">
        <v>2</v>
      </c>
      <c r="L479" s="277"/>
      <c r="M479" s="280" t="s">
        <v>115</v>
      </c>
      <c r="N479" s="234" t="s">
        <v>437</v>
      </c>
      <c r="O479" s="281">
        <v>44217</v>
      </c>
      <c r="P479" s="275" t="s">
        <v>65</v>
      </c>
      <c r="Q479" s="263" t="s">
        <v>105</v>
      </c>
      <c r="R479" s="233"/>
      <c r="S479" s="282"/>
      <c r="T479" s="265"/>
      <c r="U479" s="265"/>
      <c r="V479" s="266"/>
      <c r="X479" s="240"/>
      <c r="Y479" s="268"/>
      <c r="Z479" s="240"/>
      <c r="AA479" s="241"/>
    </row>
    <row r="480" spans="1:27" s="267" customFormat="1">
      <c r="A480" s="232">
        <v>472</v>
      </c>
      <c r="B480" s="275" t="s">
        <v>9</v>
      </c>
      <c r="C480" s="275">
        <v>4</v>
      </c>
      <c r="D480" s="276" t="s">
        <v>32</v>
      </c>
      <c r="E480" s="275" t="s">
        <v>26</v>
      </c>
      <c r="F480" s="283">
        <v>35</v>
      </c>
      <c r="G480" s="283" t="s">
        <v>85</v>
      </c>
      <c r="H480" s="284">
        <v>1.3</v>
      </c>
      <c r="I480" s="285">
        <v>48</v>
      </c>
      <c r="J480" s="233">
        <v>44</v>
      </c>
      <c r="K480" s="284">
        <v>1.3</v>
      </c>
      <c r="L480" s="277"/>
      <c r="M480" s="280" t="s">
        <v>115</v>
      </c>
      <c r="N480" s="234" t="s">
        <v>437</v>
      </c>
      <c r="O480" s="281">
        <v>44217</v>
      </c>
      <c r="P480" s="275" t="s">
        <v>65</v>
      </c>
      <c r="Q480" s="263" t="s">
        <v>105</v>
      </c>
      <c r="R480" s="233"/>
      <c r="S480" s="282"/>
      <c r="T480" s="265"/>
      <c r="U480" s="265"/>
      <c r="V480" s="266"/>
      <c r="X480" s="240"/>
      <c r="Y480" s="268"/>
      <c r="Z480" s="240"/>
      <c r="AA480" s="241"/>
    </row>
    <row r="481" spans="1:27" s="267" customFormat="1">
      <c r="A481" s="232">
        <v>473</v>
      </c>
      <c r="B481" s="275" t="s">
        <v>9</v>
      </c>
      <c r="C481" s="275">
        <v>4</v>
      </c>
      <c r="D481" s="276" t="s">
        <v>32</v>
      </c>
      <c r="E481" s="275" t="s">
        <v>28</v>
      </c>
      <c r="F481" s="283">
        <v>37</v>
      </c>
      <c r="G481" s="283" t="s">
        <v>74</v>
      </c>
      <c r="H481" s="284">
        <v>2.2000000000000002</v>
      </c>
      <c r="I481" s="285">
        <v>90</v>
      </c>
      <c r="J481" s="233">
        <v>71</v>
      </c>
      <c r="K481" s="284">
        <v>2.2000000000000002</v>
      </c>
      <c r="L481" s="277"/>
      <c r="M481" s="280" t="s">
        <v>115</v>
      </c>
      <c r="N481" s="234" t="s">
        <v>437</v>
      </c>
      <c r="O481" s="281">
        <v>44217</v>
      </c>
      <c r="P481" s="275" t="s">
        <v>65</v>
      </c>
      <c r="Q481" s="263" t="s">
        <v>105</v>
      </c>
      <c r="R481" s="233"/>
      <c r="S481" s="282"/>
      <c r="T481" s="265"/>
      <c r="U481" s="265"/>
      <c r="V481" s="266"/>
      <c r="X481" s="240"/>
      <c r="Y481" s="268"/>
      <c r="Z481" s="240"/>
      <c r="AA481" s="241"/>
    </row>
    <row r="482" spans="1:27" s="267" customFormat="1">
      <c r="A482" s="232">
        <v>474</v>
      </c>
      <c r="B482" s="275" t="s">
        <v>9</v>
      </c>
      <c r="C482" s="275">
        <v>4</v>
      </c>
      <c r="D482" s="276" t="s">
        <v>32</v>
      </c>
      <c r="E482" s="275" t="s">
        <v>28</v>
      </c>
      <c r="F482" s="283">
        <v>40</v>
      </c>
      <c r="G482" s="283" t="s">
        <v>85</v>
      </c>
      <c r="H482" s="284">
        <v>1.1000000000000001</v>
      </c>
      <c r="I482" s="285">
        <v>31</v>
      </c>
      <c r="J482" s="233">
        <v>19</v>
      </c>
      <c r="K482" s="284">
        <v>1.1000000000000001</v>
      </c>
      <c r="L482" s="277"/>
      <c r="M482" s="280" t="s">
        <v>115</v>
      </c>
      <c r="N482" s="234" t="s">
        <v>437</v>
      </c>
      <c r="O482" s="281">
        <v>44217</v>
      </c>
      <c r="P482" s="275" t="s">
        <v>65</v>
      </c>
      <c r="Q482" s="263" t="s">
        <v>105</v>
      </c>
      <c r="R482" s="233"/>
      <c r="S482" s="282"/>
      <c r="T482" s="265"/>
      <c r="U482" s="265"/>
      <c r="V482" s="266"/>
      <c r="X482" s="240"/>
      <c r="Y482" s="268"/>
      <c r="Z482" s="240"/>
      <c r="AA482" s="241"/>
    </row>
    <row r="483" spans="1:27" s="267" customFormat="1">
      <c r="A483" s="232">
        <v>475</v>
      </c>
      <c r="B483" s="275" t="s">
        <v>9</v>
      </c>
      <c r="C483" s="275">
        <v>4</v>
      </c>
      <c r="D483" s="276" t="s">
        <v>32</v>
      </c>
      <c r="E483" s="275" t="s">
        <v>28</v>
      </c>
      <c r="F483" s="283">
        <v>47</v>
      </c>
      <c r="G483" s="283" t="s">
        <v>80</v>
      </c>
      <c r="H483" s="284">
        <v>0.6</v>
      </c>
      <c r="I483" s="285">
        <v>55</v>
      </c>
      <c r="J483" s="233">
        <v>32</v>
      </c>
      <c r="K483" s="284">
        <v>0.6</v>
      </c>
      <c r="L483" s="277"/>
      <c r="M483" s="280" t="s">
        <v>115</v>
      </c>
      <c r="N483" s="234" t="s">
        <v>437</v>
      </c>
      <c r="O483" s="281">
        <v>44217</v>
      </c>
      <c r="P483" s="275" t="s">
        <v>65</v>
      </c>
      <c r="Q483" s="263" t="s">
        <v>105</v>
      </c>
      <c r="R483" s="233"/>
      <c r="S483" s="282"/>
      <c r="T483" s="265"/>
      <c r="U483" s="265"/>
      <c r="V483" s="266"/>
      <c r="X483" s="240"/>
      <c r="Y483" s="268"/>
      <c r="Z483" s="240"/>
      <c r="AA483" s="241"/>
    </row>
    <row r="484" spans="1:27" s="267" customFormat="1">
      <c r="A484" s="232">
        <v>476</v>
      </c>
      <c r="B484" s="275" t="s">
        <v>9</v>
      </c>
      <c r="C484" s="275">
        <v>4</v>
      </c>
      <c r="D484" s="276" t="s">
        <v>32</v>
      </c>
      <c r="E484" s="275" t="s">
        <v>28</v>
      </c>
      <c r="F484" s="283">
        <v>62</v>
      </c>
      <c r="G484" s="283" t="s">
        <v>67</v>
      </c>
      <c r="H484" s="284">
        <v>1.7</v>
      </c>
      <c r="I484" s="285">
        <v>100</v>
      </c>
      <c r="J484" s="233">
        <v>87</v>
      </c>
      <c r="K484" s="284">
        <v>1.7</v>
      </c>
      <c r="L484" s="277"/>
      <c r="M484" s="280" t="s">
        <v>115</v>
      </c>
      <c r="N484" s="234" t="s">
        <v>437</v>
      </c>
      <c r="O484" s="281">
        <v>44217</v>
      </c>
      <c r="P484" s="275" t="s">
        <v>65</v>
      </c>
      <c r="Q484" s="263" t="s">
        <v>105</v>
      </c>
      <c r="R484" s="233"/>
      <c r="S484" s="282"/>
      <c r="T484" s="265"/>
      <c r="U484" s="265"/>
      <c r="V484" s="266"/>
      <c r="X484" s="240"/>
      <c r="Y484" s="268"/>
      <c r="Z484" s="240"/>
      <c r="AA484" s="241"/>
    </row>
    <row r="485" spans="1:27" s="267" customFormat="1">
      <c r="A485" s="232">
        <v>477</v>
      </c>
      <c r="B485" s="275" t="s">
        <v>9</v>
      </c>
      <c r="C485" s="275">
        <v>3</v>
      </c>
      <c r="D485" s="276" t="s">
        <v>32</v>
      </c>
      <c r="E485" s="275" t="s">
        <v>26</v>
      </c>
      <c r="F485" s="283">
        <v>66</v>
      </c>
      <c r="G485" s="283" t="s">
        <v>69</v>
      </c>
      <c r="H485" s="284">
        <v>8</v>
      </c>
      <c r="I485" s="285">
        <v>42</v>
      </c>
      <c r="J485" s="233">
        <v>38</v>
      </c>
      <c r="K485" s="284">
        <v>8</v>
      </c>
      <c r="L485" s="277"/>
      <c r="M485" s="280" t="s">
        <v>115</v>
      </c>
      <c r="N485" s="234" t="s">
        <v>437</v>
      </c>
      <c r="O485" s="281">
        <v>44217</v>
      </c>
      <c r="P485" s="275" t="s">
        <v>65</v>
      </c>
      <c r="Q485" s="263" t="s">
        <v>105</v>
      </c>
      <c r="R485" s="233"/>
      <c r="S485" s="282"/>
      <c r="T485" s="265"/>
      <c r="U485" s="265"/>
      <c r="V485" s="266"/>
      <c r="X485" s="240"/>
      <c r="Y485" s="268"/>
      <c r="Z485" s="240"/>
      <c r="AA485" s="241"/>
    </row>
    <row r="486" spans="1:27" s="267" customFormat="1">
      <c r="A486" s="232">
        <v>478</v>
      </c>
      <c r="B486" s="275" t="s">
        <v>9</v>
      </c>
      <c r="C486" s="275">
        <v>3</v>
      </c>
      <c r="D486" s="276" t="s">
        <v>32</v>
      </c>
      <c r="E486" s="275" t="s">
        <v>28</v>
      </c>
      <c r="F486" s="283">
        <v>66</v>
      </c>
      <c r="G486" s="283" t="s">
        <v>67</v>
      </c>
      <c r="H486" s="285">
        <v>1.8</v>
      </c>
      <c r="I486" s="285">
        <v>61</v>
      </c>
      <c r="J486" s="233">
        <v>55</v>
      </c>
      <c r="K486" s="285">
        <v>1.8</v>
      </c>
      <c r="L486" s="277"/>
      <c r="M486" s="280" t="s">
        <v>115</v>
      </c>
      <c r="N486" s="234" t="s">
        <v>437</v>
      </c>
      <c r="O486" s="281">
        <v>44217</v>
      </c>
      <c r="P486" s="275" t="s">
        <v>65</v>
      </c>
      <c r="Q486" s="263" t="s">
        <v>105</v>
      </c>
      <c r="R486" s="233"/>
      <c r="S486" s="282"/>
      <c r="T486" s="265"/>
      <c r="U486" s="265"/>
      <c r="V486" s="266"/>
      <c r="X486" s="240"/>
      <c r="Y486" s="268"/>
      <c r="Z486" s="240"/>
      <c r="AA486" s="241"/>
    </row>
    <row r="487" spans="1:27" s="267" customFormat="1">
      <c r="A487" s="232">
        <v>479</v>
      </c>
      <c r="B487" s="275" t="s">
        <v>9</v>
      </c>
      <c r="C487" s="275">
        <v>4</v>
      </c>
      <c r="D487" s="276" t="s">
        <v>32</v>
      </c>
      <c r="E487" s="275" t="s">
        <v>28</v>
      </c>
      <c r="F487" s="289" t="s">
        <v>485</v>
      </c>
      <c r="G487" s="289" t="s">
        <v>80</v>
      </c>
      <c r="H487" s="294">
        <v>1.8</v>
      </c>
      <c r="I487" s="285">
        <v>83</v>
      </c>
      <c r="J487" s="233">
        <v>69</v>
      </c>
      <c r="K487" s="294"/>
      <c r="L487" s="294">
        <v>1.8</v>
      </c>
      <c r="M487" s="280" t="s">
        <v>115</v>
      </c>
      <c r="N487" s="234" t="s">
        <v>491</v>
      </c>
      <c r="O487" s="281">
        <v>44418</v>
      </c>
      <c r="P487" s="275" t="s">
        <v>65</v>
      </c>
      <c r="Q487" s="263" t="s">
        <v>105</v>
      </c>
      <c r="R487" s="233"/>
      <c r="S487" s="282"/>
      <c r="T487" s="265"/>
      <c r="U487" s="265"/>
      <c r="V487" s="266"/>
      <c r="X487" s="240"/>
      <c r="Y487" s="268"/>
      <c r="Z487" s="240"/>
      <c r="AA487" s="241"/>
    </row>
    <row r="488" spans="1:27" s="267" customFormat="1">
      <c r="A488" s="232">
        <v>480</v>
      </c>
      <c r="B488" s="275" t="s">
        <v>9</v>
      </c>
      <c r="C488" s="275">
        <v>5</v>
      </c>
      <c r="D488" s="276" t="s">
        <v>32</v>
      </c>
      <c r="E488" s="275" t="s">
        <v>28</v>
      </c>
      <c r="F488" s="289" t="s">
        <v>486</v>
      </c>
      <c r="G488" s="289" t="s">
        <v>195</v>
      </c>
      <c r="H488" s="294">
        <v>2.6</v>
      </c>
      <c r="I488" s="285">
        <v>189</v>
      </c>
      <c r="J488" s="233">
        <v>161</v>
      </c>
      <c r="K488" s="294"/>
      <c r="L488" s="294">
        <v>2.6</v>
      </c>
      <c r="M488" s="280" t="s">
        <v>115</v>
      </c>
      <c r="N488" s="234" t="s">
        <v>491</v>
      </c>
      <c r="O488" s="281">
        <v>44418</v>
      </c>
      <c r="P488" s="275" t="s">
        <v>65</v>
      </c>
      <c r="Q488" s="263" t="s">
        <v>105</v>
      </c>
      <c r="R488" s="233"/>
      <c r="S488" s="282"/>
      <c r="T488" s="265"/>
      <c r="U488" s="265"/>
      <c r="V488" s="266"/>
      <c r="X488" s="240"/>
      <c r="Y488" s="268"/>
      <c r="Z488" s="240"/>
      <c r="AA488" s="241"/>
    </row>
    <row r="489" spans="1:27" s="267" customFormat="1">
      <c r="A489" s="232">
        <v>481</v>
      </c>
      <c r="B489" s="275" t="s">
        <v>9</v>
      </c>
      <c r="C489" s="275">
        <v>6</v>
      </c>
      <c r="D489" s="276" t="s">
        <v>32</v>
      </c>
      <c r="E489" s="275" t="s">
        <v>28</v>
      </c>
      <c r="F489" s="289" t="s">
        <v>487</v>
      </c>
      <c r="G489" s="289" t="s">
        <v>69</v>
      </c>
      <c r="H489" s="294">
        <v>1</v>
      </c>
      <c r="I489" s="285">
        <v>47</v>
      </c>
      <c r="J489" s="233">
        <v>41</v>
      </c>
      <c r="K489" s="294"/>
      <c r="L489" s="294">
        <v>1</v>
      </c>
      <c r="M489" s="280" t="s">
        <v>115</v>
      </c>
      <c r="N489" s="234" t="s">
        <v>491</v>
      </c>
      <c r="O489" s="281">
        <v>44418</v>
      </c>
      <c r="P489" s="275" t="s">
        <v>65</v>
      </c>
      <c r="Q489" s="263" t="s">
        <v>105</v>
      </c>
      <c r="R489" s="233"/>
      <c r="S489" s="282"/>
      <c r="T489" s="265"/>
      <c r="U489" s="265"/>
      <c r="V489" s="266"/>
      <c r="X489" s="240"/>
      <c r="Y489" s="268"/>
      <c r="Z489" s="240"/>
      <c r="AA489" s="241"/>
    </row>
    <row r="490" spans="1:27" s="267" customFormat="1">
      <c r="A490" s="232">
        <v>482</v>
      </c>
      <c r="B490" s="275" t="s">
        <v>9</v>
      </c>
      <c r="C490" s="275">
        <v>7</v>
      </c>
      <c r="D490" s="276" t="s">
        <v>32</v>
      </c>
      <c r="E490" s="275" t="s">
        <v>28</v>
      </c>
      <c r="F490" s="289" t="s">
        <v>487</v>
      </c>
      <c r="G490" s="289" t="s">
        <v>72</v>
      </c>
      <c r="H490" s="294">
        <v>2.4</v>
      </c>
      <c r="I490" s="285">
        <v>53</v>
      </c>
      <c r="J490" s="233">
        <v>46</v>
      </c>
      <c r="K490" s="294"/>
      <c r="L490" s="294">
        <v>2.4</v>
      </c>
      <c r="M490" s="280" t="s">
        <v>115</v>
      </c>
      <c r="N490" s="234" t="s">
        <v>491</v>
      </c>
      <c r="O490" s="281">
        <v>44418</v>
      </c>
      <c r="P490" s="275" t="s">
        <v>65</v>
      </c>
      <c r="Q490" s="263" t="s">
        <v>105</v>
      </c>
      <c r="R490" s="233"/>
      <c r="S490" s="282"/>
      <c r="T490" s="265"/>
      <c r="U490" s="265"/>
      <c r="V490" s="266"/>
      <c r="X490" s="240"/>
      <c r="Y490" s="268"/>
      <c r="Z490" s="240"/>
      <c r="AA490" s="241"/>
    </row>
    <row r="491" spans="1:27" s="267" customFormat="1">
      <c r="A491" s="232">
        <v>483</v>
      </c>
      <c r="B491" s="275" t="s">
        <v>9</v>
      </c>
      <c r="C491" s="275">
        <v>8</v>
      </c>
      <c r="D491" s="276" t="s">
        <v>32</v>
      </c>
      <c r="E491" s="275" t="s">
        <v>28</v>
      </c>
      <c r="F491" s="289" t="s">
        <v>488</v>
      </c>
      <c r="G491" s="289" t="s">
        <v>89</v>
      </c>
      <c r="H491" s="294">
        <v>2.7</v>
      </c>
      <c r="I491" s="285">
        <v>118</v>
      </c>
      <c r="J491" s="233">
        <v>84</v>
      </c>
      <c r="K491" s="294"/>
      <c r="L491" s="294">
        <v>2.7</v>
      </c>
      <c r="M491" s="280" t="s">
        <v>115</v>
      </c>
      <c r="N491" s="234" t="s">
        <v>491</v>
      </c>
      <c r="O491" s="281">
        <v>44418</v>
      </c>
      <c r="P491" s="275" t="s">
        <v>65</v>
      </c>
      <c r="Q491" s="263" t="s">
        <v>105</v>
      </c>
      <c r="R491" s="233"/>
      <c r="S491" s="282"/>
      <c r="T491" s="265"/>
      <c r="U491" s="265"/>
      <c r="V491" s="266"/>
      <c r="X491" s="240"/>
      <c r="Y491" s="268"/>
      <c r="Z491" s="240"/>
      <c r="AA491" s="241"/>
    </row>
    <row r="492" spans="1:27" s="267" customFormat="1">
      <c r="A492" s="232">
        <v>484</v>
      </c>
      <c r="B492" s="275" t="s">
        <v>9</v>
      </c>
      <c r="C492" s="275">
        <v>9</v>
      </c>
      <c r="D492" s="276" t="s">
        <v>32</v>
      </c>
      <c r="E492" s="275" t="s">
        <v>28</v>
      </c>
      <c r="F492" s="289" t="s">
        <v>487</v>
      </c>
      <c r="G492" s="289" t="s">
        <v>490</v>
      </c>
      <c r="H492" s="294">
        <v>3.8</v>
      </c>
      <c r="I492" s="285">
        <v>83</v>
      </c>
      <c r="J492" s="233">
        <v>70</v>
      </c>
      <c r="K492" s="294"/>
      <c r="L492" s="294">
        <v>3.8</v>
      </c>
      <c r="M492" s="280" t="s">
        <v>115</v>
      </c>
      <c r="N492" s="234" t="s">
        <v>491</v>
      </c>
      <c r="O492" s="281">
        <v>44418</v>
      </c>
      <c r="P492" s="275" t="s">
        <v>65</v>
      </c>
      <c r="Q492" s="263" t="s">
        <v>105</v>
      </c>
      <c r="R492" s="233"/>
      <c r="S492" s="282"/>
      <c r="T492" s="265"/>
      <c r="U492" s="265"/>
      <c r="V492" s="266"/>
      <c r="X492" s="240"/>
      <c r="Y492" s="268"/>
      <c r="Z492" s="240"/>
      <c r="AA492" s="241"/>
    </row>
    <row r="493" spans="1:27" s="267" customFormat="1">
      <c r="A493" s="232">
        <v>485</v>
      </c>
      <c r="B493" s="275" t="s">
        <v>9</v>
      </c>
      <c r="C493" s="275">
        <v>10</v>
      </c>
      <c r="D493" s="276" t="s">
        <v>32</v>
      </c>
      <c r="E493" s="275" t="s">
        <v>28</v>
      </c>
      <c r="F493" s="289" t="s">
        <v>487</v>
      </c>
      <c r="G493" s="289" t="s">
        <v>489</v>
      </c>
      <c r="H493" s="294">
        <v>5.0999999999999996</v>
      </c>
      <c r="I493" s="285">
        <v>146</v>
      </c>
      <c r="J493" s="233">
        <v>127</v>
      </c>
      <c r="K493" s="294"/>
      <c r="L493" s="294">
        <v>5.0999999999999996</v>
      </c>
      <c r="M493" s="280" t="s">
        <v>115</v>
      </c>
      <c r="N493" s="234" t="s">
        <v>491</v>
      </c>
      <c r="O493" s="281">
        <v>44418</v>
      </c>
      <c r="P493" s="275" t="s">
        <v>65</v>
      </c>
      <c r="Q493" s="263" t="s">
        <v>105</v>
      </c>
      <c r="R493" s="233"/>
      <c r="S493" s="282"/>
      <c r="T493" s="265"/>
      <c r="U493" s="265"/>
      <c r="V493" s="266"/>
      <c r="X493" s="240"/>
      <c r="Y493" s="268"/>
      <c r="Z493" s="240"/>
      <c r="AA493" s="241"/>
    </row>
    <row r="494" spans="1:27" s="267" customFormat="1">
      <c r="A494" s="232">
        <v>486</v>
      </c>
      <c r="B494" s="275" t="s">
        <v>9</v>
      </c>
      <c r="C494" s="275">
        <v>11</v>
      </c>
      <c r="D494" s="276" t="s">
        <v>32</v>
      </c>
      <c r="E494" s="275" t="s">
        <v>28</v>
      </c>
      <c r="F494" s="289" t="s">
        <v>487</v>
      </c>
      <c r="G494" s="289" t="s">
        <v>77</v>
      </c>
      <c r="H494" s="294">
        <v>2.2000000000000002</v>
      </c>
      <c r="I494" s="285">
        <v>185</v>
      </c>
      <c r="J494" s="233">
        <v>170</v>
      </c>
      <c r="K494" s="294"/>
      <c r="L494" s="294">
        <v>2.2000000000000002</v>
      </c>
      <c r="M494" s="280" t="s">
        <v>115</v>
      </c>
      <c r="N494" s="234" t="s">
        <v>491</v>
      </c>
      <c r="O494" s="281">
        <v>44418</v>
      </c>
      <c r="P494" s="275" t="s">
        <v>65</v>
      </c>
      <c r="Q494" s="263" t="s">
        <v>105</v>
      </c>
      <c r="R494" s="233"/>
      <c r="S494" s="282"/>
      <c r="T494" s="265"/>
      <c r="U494" s="265"/>
      <c r="V494" s="266"/>
      <c r="X494" s="240"/>
      <c r="Y494" s="268"/>
      <c r="Z494" s="240"/>
      <c r="AA494" s="241"/>
    </row>
    <row r="495" spans="1:27" s="267" customFormat="1">
      <c r="A495" s="232">
        <v>487</v>
      </c>
      <c r="B495" s="275" t="s">
        <v>9</v>
      </c>
      <c r="C495" s="275">
        <v>3</v>
      </c>
      <c r="D495" s="276" t="s">
        <v>247</v>
      </c>
      <c r="E495" s="275" t="s">
        <v>28</v>
      </c>
      <c r="F495" s="289" t="s">
        <v>78</v>
      </c>
      <c r="G495" s="289" t="s">
        <v>89</v>
      </c>
      <c r="H495" s="294">
        <v>0.1</v>
      </c>
      <c r="I495" s="285">
        <v>17</v>
      </c>
      <c r="J495" s="233">
        <v>12</v>
      </c>
      <c r="K495" s="294"/>
      <c r="L495" s="277">
        <v>0.1</v>
      </c>
      <c r="M495" s="280" t="s">
        <v>115</v>
      </c>
      <c r="N495" s="234" t="s">
        <v>458</v>
      </c>
      <c r="O495" s="281">
        <v>44260</v>
      </c>
      <c r="P495" s="275" t="s">
        <v>65</v>
      </c>
      <c r="Q495" s="263" t="s">
        <v>105</v>
      </c>
      <c r="R495" s="233"/>
      <c r="S495" s="282"/>
      <c r="T495" s="265"/>
      <c r="U495" s="265"/>
      <c r="V495" s="266"/>
      <c r="X495" s="240"/>
      <c r="Y495" s="268"/>
      <c r="Z495" s="240"/>
      <c r="AA495" s="241"/>
    </row>
    <row r="496" spans="1:27" s="267" customFormat="1">
      <c r="A496" s="232">
        <v>488</v>
      </c>
      <c r="B496" s="275" t="s">
        <v>9</v>
      </c>
      <c r="C496" s="275">
        <v>3</v>
      </c>
      <c r="D496" s="276" t="s">
        <v>247</v>
      </c>
      <c r="E496" s="275" t="s">
        <v>28</v>
      </c>
      <c r="F496" s="289" t="s">
        <v>78</v>
      </c>
      <c r="G496" s="289" t="s">
        <v>98</v>
      </c>
      <c r="H496" s="294">
        <v>0.1</v>
      </c>
      <c r="I496" s="285">
        <v>25</v>
      </c>
      <c r="J496" s="233">
        <v>19</v>
      </c>
      <c r="K496" s="294"/>
      <c r="L496" s="277">
        <v>0.1</v>
      </c>
      <c r="M496" s="280" t="s">
        <v>115</v>
      </c>
      <c r="N496" s="234" t="s">
        <v>458</v>
      </c>
      <c r="O496" s="281">
        <v>44260</v>
      </c>
      <c r="P496" s="275" t="s">
        <v>65</v>
      </c>
      <c r="Q496" s="263" t="s">
        <v>105</v>
      </c>
      <c r="R496" s="233"/>
      <c r="S496" s="282"/>
      <c r="T496" s="265"/>
      <c r="U496" s="265"/>
      <c r="V496" s="266"/>
      <c r="X496" s="240"/>
      <c r="Y496" s="268"/>
      <c r="Z496" s="240"/>
      <c r="AA496" s="241"/>
    </row>
    <row r="497" spans="1:27" s="267" customFormat="1">
      <c r="A497" s="232">
        <v>489</v>
      </c>
      <c r="B497" s="275" t="s">
        <v>9</v>
      </c>
      <c r="C497" s="275">
        <v>4</v>
      </c>
      <c r="D497" s="276" t="s">
        <v>125</v>
      </c>
      <c r="E497" s="275" t="s">
        <v>26</v>
      </c>
      <c r="F497" s="275">
        <v>29</v>
      </c>
      <c r="G497" s="234" t="s">
        <v>88</v>
      </c>
      <c r="H497" s="277">
        <v>0.4</v>
      </c>
      <c r="I497" s="263">
        <v>15</v>
      </c>
      <c r="J497" s="263">
        <v>14</v>
      </c>
      <c r="K497" s="286"/>
      <c r="L497" s="277">
        <v>0.4</v>
      </c>
      <c r="M497" s="280" t="s">
        <v>115</v>
      </c>
      <c r="N497" s="234" t="s">
        <v>438</v>
      </c>
      <c r="O497" s="281">
        <v>44214</v>
      </c>
      <c r="P497" s="275" t="s">
        <v>65</v>
      </c>
      <c r="Q497" s="263" t="s">
        <v>105</v>
      </c>
      <c r="R497" s="233"/>
      <c r="S497" s="282"/>
      <c r="T497" s="265"/>
      <c r="U497" s="265"/>
      <c r="V497" s="266"/>
      <c r="X497" s="240"/>
      <c r="Y497" s="268"/>
      <c r="Z497" s="240"/>
      <c r="AA497" s="241"/>
    </row>
    <row r="498" spans="1:27" s="267" customFormat="1">
      <c r="A498" s="232">
        <v>490</v>
      </c>
      <c r="B498" s="275" t="s">
        <v>9</v>
      </c>
      <c r="C498" s="275">
        <v>4</v>
      </c>
      <c r="D498" s="276" t="s">
        <v>125</v>
      </c>
      <c r="E498" s="275" t="s">
        <v>28</v>
      </c>
      <c r="F498" s="275">
        <v>29</v>
      </c>
      <c r="G498" s="234" t="s">
        <v>80</v>
      </c>
      <c r="H498" s="277">
        <v>0.2</v>
      </c>
      <c r="I498" s="263">
        <v>8</v>
      </c>
      <c r="J498" s="263">
        <v>7</v>
      </c>
      <c r="K498" s="286"/>
      <c r="L498" s="277">
        <v>0.2</v>
      </c>
      <c r="M498" s="280" t="s">
        <v>115</v>
      </c>
      <c r="N498" s="234" t="s">
        <v>438</v>
      </c>
      <c r="O498" s="281">
        <v>44214</v>
      </c>
      <c r="P498" s="275" t="s">
        <v>65</v>
      </c>
      <c r="Q498" s="263" t="s">
        <v>105</v>
      </c>
      <c r="R498" s="233"/>
      <c r="S498" s="282"/>
      <c r="T498" s="265"/>
      <c r="U498" s="265"/>
      <c r="V498" s="266"/>
      <c r="X498" s="240"/>
      <c r="Y498" s="268"/>
      <c r="Z498" s="240"/>
      <c r="AA498" s="241"/>
    </row>
    <row r="499" spans="1:27" s="267" customFormat="1">
      <c r="A499" s="232">
        <v>491</v>
      </c>
      <c r="B499" s="275" t="s">
        <v>9</v>
      </c>
      <c r="C499" s="275">
        <v>4</v>
      </c>
      <c r="D499" s="276" t="s">
        <v>125</v>
      </c>
      <c r="E499" s="275" t="s">
        <v>197</v>
      </c>
      <c r="F499" s="275">
        <v>29</v>
      </c>
      <c r="G499" s="234" t="s">
        <v>67</v>
      </c>
      <c r="H499" s="277">
        <v>0.3</v>
      </c>
      <c r="I499" s="263">
        <v>12</v>
      </c>
      <c r="J499" s="263">
        <v>11</v>
      </c>
      <c r="K499" s="286"/>
      <c r="L499" s="277">
        <v>0.3</v>
      </c>
      <c r="M499" s="280" t="s">
        <v>115</v>
      </c>
      <c r="N499" s="234" t="s">
        <v>438</v>
      </c>
      <c r="O499" s="281">
        <v>44214</v>
      </c>
      <c r="P499" s="275" t="s">
        <v>65</v>
      </c>
      <c r="Q499" s="263" t="s">
        <v>105</v>
      </c>
      <c r="R499" s="233"/>
      <c r="S499" s="282"/>
      <c r="T499" s="265"/>
      <c r="U499" s="265"/>
      <c r="V499" s="266"/>
      <c r="X499" s="240"/>
      <c r="Y499" s="268"/>
      <c r="Z499" s="240"/>
      <c r="AA499" s="241"/>
    </row>
    <row r="500" spans="1:27" s="267" customFormat="1">
      <c r="A500" s="232">
        <v>492</v>
      </c>
      <c r="B500" s="275" t="s">
        <v>9</v>
      </c>
      <c r="C500" s="275">
        <v>4</v>
      </c>
      <c r="D500" s="276" t="s">
        <v>125</v>
      </c>
      <c r="E500" s="275" t="s">
        <v>26</v>
      </c>
      <c r="F500" s="275">
        <v>30</v>
      </c>
      <c r="G500" s="234" t="s">
        <v>67</v>
      </c>
      <c r="H500" s="277">
        <v>0.4</v>
      </c>
      <c r="I500" s="263">
        <v>25</v>
      </c>
      <c r="J500" s="263">
        <v>23</v>
      </c>
      <c r="K500" s="286"/>
      <c r="L500" s="277">
        <v>0.4</v>
      </c>
      <c r="M500" s="280" t="s">
        <v>115</v>
      </c>
      <c r="N500" s="234" t="s">
        <v>438</v>
      </c>
      <c r="O500" s="281">
        <v>44214</v>
      </c>
      <c r="P500" s="275" t="s">
        <v>65</v>
      </c>
      <c r="Q500" s="263" t="s">
        <v>105</v>
      </c>
      <c r="R500" s="233"/>
      <c r="S500" s="282"/>
      <c r="T500" s="265"/>
      <c r="U500" s="265"/>
      <c r="V500" s="266"/>
      <c r="X500" s="240"/>
      <c r="Y500" s="268"/>
      <c r="Z500" s="240"/>
      <c r="AA500" s="241"/>
    </row>
    <row r="501" spans="1:27" s="267" customFormat="1">
      <c r="A501" s="232">
        <v>493</v>
      </c>
      <c r="B501" s="275" t="s">
        <v>9</v>
      </c>
      <c r="C501" s="275">
        <v>4</v>
      </c>
      <c r="D501" s="276" t="s">
        <v>125</v>
      </c>
      <c r="E501" s="275" t="s">
        <v>26</v>
      </c>
      <c r="F501" s="275">
        <v>45</v>
      </c>
      <c r="G501" s="234" t="s">
        <v>74</v>
      </c>
      <c r="H501" s="277">
        <v>0.4</v>
      </c>
      <c r="I501" s="263">
        <v>6</v>
      </c>
      <c r="J501" s="263">
        <v>6</v>
      </c>
      <c r="K501" s="286"/>
      <c r="L501" s="277">
        <v>0.4</v>
      </c>
      <c r="M501" s="280" t="s">
        <v>115</v>
      </c>
      <c r="N501" s="234" t="s">
        <v>438</v>
      </c>
      <c r="O501" s="281">
        <v>44214</v>
      </c>
      <c r="P501" s="275" t="s">
        <v>65</v>
      </c>
      <c r="Q501" s="263" t="s">
        <v>105</v>
      </c>
      <c r="R501" s="233"/>
      <c r="S501" s="282"/>
      <c r="T501" s="265"/>
      <c r="U501" s="265"/>
      <c r="V501" s="266"/>
      <c r="X501" s="240"/>
      <c r="Y501" s="268"/>
      <c r="Z501" s="240"/>
      <c r="AA501" s="241"/>
    </row>
    <row r="502" spans="1:27" s="267" customFormat="1">
      <c r="A502" s="232">
        <v>494</v>
      </c>
      <c r="B502" s="275" t="s">
        <v>9</v>
      </c>
      <c r="C502" s="275">
        <v>4</v>
      </c>
      <c r="D502" s="276" t="s">
        <v>125</v>
      </c>
      <c r="E502" s="275" t="s">
        <v>26</v>
      </c>
      <c r="F502" s="275">
        <v>47</v>
      </c>
      <c r="G502" s="234" t="s">
        <v>71</v>
      </c>
      <c r="H502" s="277">
        <v>0.4</v>
      </c>
      <c r="I502" s="263">
        <v>22</v>
      </c>
      <c r="J502" s="263">
        <v>20</v>
      </c>
      <c r="K502" s="286"/>
      <c r="L502" s="277">
        <v>0.4</v>
      </c>
      <c r="M502" s="280" t="s">
        <v>115</v>
      </c>
      <c r="N502" s="234" t="s">
        <v>438</v>
      </c>
      <c r="O502" s="281">
        <v>44214</v>
      </c>
      <c r="P502" s="275" t="s">
        <v>65</v>
      </c>
      <c r="Q502" s="263" t="s">
        <v>105</v>
      </c>
      <c r="R502" s="233"/>
      <c r="S502" s="282"/>
      <c r="T502" s="265"/>
      <c r="U502" s="265"/>
      <c r="V502" s="266"/>
      <c r="X502" s="240"/>
      <c r="Y502" s="268"/>
      <c r="Z502" s="240"/>
      <c r="AA502" s="241"/>
    </row>
    <row r="503" spans="1:27" s="267" customFormat="1">
      <c r="A503" s="232">
        <v>495</v>
      </c>
      <c r="B503" s="275" t="s">
        <v>9</v>
      </c>
      <c r="C503" s="275">
        <v>4</v>
      </c>
      <c r="D503" s="276" t="s">
        <v>125</v>
      </c>
      <c r="E503" s="275" t="s">
        <v>129</v>
      </c>
      <c r="F503" s="275">
        <v>48</v>
      </c>
      <c r="G503" s="234" t="s">
        <v>72</v>
      </c>
      <c r="H503" s="277">
        <v>0.3</v>
      </c>
      <c r="I503" s="263">
        <v>10</v>
      </c>
      <c r="J503" s="263">
        <v>9</v>
      </c>
      <c r="K503" s="286"/>
      <c r="L503" s="277">
        <v>0.3</v>
      </c>
      <c r="M503" s="280" t="s">
        <v>115</v>
      </c>
      <c r="N503" s="234" t="s">
        <v>438</v>
      </c>
      <c r="O503" s="281">
        <v>44214</v>
      </c>
      <c r="P503" s="275" t="s">
        <v>65</v>
      </c>
      <c r="Q503" s="263" t="s">
        <v>105</v>
      </c>
      <c r="R503" s="233"/>
      <c r="S503" s="282"/>
      <c r="T503" s="265"/>
      <c r="U503" s="265"/>
      <c r="V503" s="266"/>
      <c r="X503" s="240"/>
      <c r="Y503" s="268"/>
      <c r="Z503" s="240"/>
      <c r="AA503" s="241"/>
    </row>
    <row r="504" spans="1:27" s="267" customFormat="1">
      <c r="A504" s="232">
        <v>496</v>
      </c>
      <c r="B504" s="275" t="s">
        <v>9</v>
      </c>
      <c r="C504" s="275">
        <v>5</v>
      </c>
      <c r="D504" s="276" t="s">
        <v>125</v>
      </c>
      <c r="E504" s="275" t="s">
        <v>28</v>
      </c>
      <c r="F504" s="275">
        <v>18</v>
      </c>
      <c r="G504" s="234" t="s">
        <v>68</v>
      </c>
      <c r="H504" s="277">
        <v>1.3</v>
      </c>
      <c r="I504" s="263">
        <v>25</v>
      </c>
      <c r="J504" s="263">
        <v>22</v>
      </c>
      <c r="K504" s="286"/>
      <c r="L504" s="277">
        <v>1.3</v>
      </c>
      <c r="M504" s="280" t="s">
        <v>115</v>
      </c>
      <c r="N504" s="234" t="s">
        <v>478</v>
      </c>
      <c r="O504" s="281">
        <v>44295</v>
      </c>
      <c r="P504" s="275" t="s">
        <v>65</v>
      </c>
      <c r="Q504" s="263" t="s">
        <v>105</v>
      </c>
      <c r="R504" s="233"/>
      <c r="S504" s="282"/>
      <c r="T504" s="265"/>
      <c r="U504" s="265"/>
      <c r="V504" s="266"/>
      <c r="X504" s="240"/>
      <c r="Y504" s="268"/>
      <c r="Z504" s="240"/>
      <c r="AA504" s="241"/>
    </row>
    <row r="505" spans="1:27" s="267" customFormat="1">
      <c r="A505" s="232">
        <v>497</v>
      </c>
      <c r="B505" s="275" t="s">
        <v>9</v>
      </c>
      <c r="C505" s="275">
        <v>6</v>
      </c>
      <c r="D505" s="276" t="s">
        <v>125</v>
      </c>
      <c r="E505" s="275" t="s">
        <v>28</v>
      </c>
      <c r="F505" s="275">
        <v>30</v>
      </c>
      <c r="G505" s="234" t="s">
        <v>82</v>
      </c>
      <c r="H505" s="277">
        <v>0.6</v>
      </c>
      <c r="I505" s="263">
        <v>7</v>
      </c>
      <c r="J505" s="263">
        <v>6</v>
      </c>
      <c r="K505" s="286"/>
      <c r="L505" s="277">
        <v>0.6</v>
      </c>
      <c r="M505" s="280" t="s">
        <v>115</v>
      </c>
      <c r="N505" s="234" t="s">
        <v>478</v>
      </c>
      <c r="O505" s="281">
        <v>44295</v>
      </c>
      <c r="P505" s="275" t="s">
        <v>65</v>
      </c>
      <c r="Q505" s="263" t="s">
        <v>105</v>
      </c>
      <c r="R505" s="233"/>
      <c r="S505" s="282"/>
      <c r="T505" s="265"/>
      <c r="U505" s="265"/>
      <c r="V505" s="266"/>
      <c r="X505" s="240"/>
      <c r="Y505" s="268"/>
      <c r="Z505" s="240"/>
      <c r="AA505" s="241"/>
    </row>
    <row r="506" spans="1:27" s="267" customFormat="1">
      <c r="A506" s="232">
        <v>498</v>
      </c>
      <c r="B506" s="275" t="s">
        <v>9</v>
      </c>
      <c r="C506" s="275">
        <v>7</v>
      </c>
      <c r="D506" s="276" t="s">
        <v>125</v>
      </c>
      <c r="E506" s="275" t="s">
        <v>26</v>
      </c>
      <c r="F506" s="275">
        <v>30</v>
      </c>
      <c r="G506" s="234" t="s">
        <v>78</v>
      </c>
      <c r="H506" s="277">
        <v>0.2</v>
      </c>
      <c r="I506" s="263">
        <v>8</v>
      </c>
      <c r="J506" s="263">
        <v>7</v>
      </c>
      <c r="K506" s="286"/>
      <c r="L506" s="277">
        <v>0.2</v>
      </c>
      <c r="M506" s="280" t="s">
        <v>115</v>
      </c>
      <c r="N506" s="234" t="s">
        <v>478</v>
      </c>
      <c r="O506" s="281">
        <v>44295</v>
      </c>
      <c r="P506" s="275" t="s">
        <v>65</v>
      </c>
      <c r="Q506" s="263" t="s">
        <v>105</v>
      </c>
      <c r="R506" s="233"/>
      <c r="S506" s="282"/>
      <c r="T506" s="265"/>
      <c r="U506" s="265"/>
      <c r="V506" s="266"/>
      <c r="X506" s="240"/>
      <c r="Y506" s="268"/>
      <c r="Z506" s="240"/>
      <c r="AA506" s="241"/>
    </row>
    <row r="507" spans="1:27" s="267" customFormat="1">
      <c r="A507" s="232">
        <v>499</v>
      </c>
      <c r="B507" s="275" t="s">
        <v>9</v>
      </c>
      <c r="C507" s="275">
        <v>8</v>
      </c>
      <c r="D507" s="276" t="s">
        <v>125</v>
      </c>
      <c r="E507" s="275" t="s">
        <v>28</v>
      </c>
      <c r="F507" s="275">
        <v>58</v>
      </c>
      <c r="G507" s="234" t="s">
        <v>69</v>
      </c>
      <c r="H507" s="277">
        <v>0.3</v>
      </c>
      <c r="I507" s="263">
        <v>8</v>
      </c>
      <c r="J507" s="263">
        <v>8</v>
      </c>
      <c r="K507" s="286"/>
      <c r="L507" s="277">
        <v>0.3</v>
      </c>
      <c r="M507" s="280" t="s">
        <v>115</v>
      </c>
      <c r="N507" s="234" t="s">
        <v>492</v>
      </c>
      <c r="O507" s="281">
        <v>44418</v>
      </c>
      <c r="P507" s="275" t="s">
        <v>65</v>
      </c>
      <c r="Q507" s="263" t="s">
        <v>105</v>
      </c>
      <c r="R507" s="233"/>
      <c r="S507" s="282"/>
      <c r="T507" s="265"/>
      <c r="U507" s="265"/>
      <c r="V507" s="266"/>
      <c r="X507" s="240"/>
      <c r="Y507" s="268"/>
      <c r="Z507" s="240"/>
      <c r="AA507" s="241"/>
    </row>
    <row r="508" spans="1:27" s="267" customFormat="1">
      <c r="A508" s="232">
        <v>500</v>
      </c>
      <c r="B508" s="275" t="s">
        <v>9</v>
      </c>
      <c r="C508" s="275">
        <v>9</v>
      </c>
      <c r="D508" s="276" t="s">
        <v>125</v>
      </c>
      <c r="E508" s="275" t="s">
        <v>197</v>
      </c>
      <c r="F508" s="275">
        <v>58</v>
      </c>
      <c r="G508" s="234" t="s">
        <v>72</v>
      </c>
      <c r="H508" s="277">
        <v>0.5</v>
      </c>
      <c r="I508" s="263">
        <v>10</v>
      </c>
      <c r="J508" s="263">
        <v>10</v>
      </c>
      <c r="K508" s="286"/>
      <c r="L508" s="277">
        <v>0.5</v>
      </c>
      <c r="M508" s="280" t="s">
        <v>115</v>
      </c>
      <c r="N508" s="234" t="s">
        <v>492</v>
      </c>
      <c r="O508" s="281">
        <v>44418</v>
      </c>
      <c r="P508" s="275" t="s">
        <v>65</v>
      </c>
      <c r="Q508" s="263" t="s">
        <v>105</v>
      </c>
      <c r="R508" s="233"/>
      <c r="S508" s="282"/>
      <c r="T508" s="265"/>
      <c r="U508" s="265"/>
      <c r="V508" s="266"/>
      <c r="X508" s="240"/>
      <c r="Y508" s="268"/>
      <c r="Z508" s="240"/>
      <c r="AA508" s="241"/>
    </row>
    <row r="509" spans="1:27" s="267" customFormat="1">
      <c r="A509" s="232">
        <v>501</v>
      </c>
      <c r="B509" s="275" t="s">
        <v>9</v>
      </c>
      <c r="C509" s="275">
        <v>10</v>
      </c>
      <c r="D509" s="276" t="s">
        <v>125</v>
      </c>
      <c r="E509" s="275" t="s">
        <v>26</v>
      </c>
      <c r="F509" s="275">
        <v>58</v>
      </c>
      <c r="G509" s="234" t="s">
        <v>67</v>
      </c>
      <c r="H509" s="277">
        <v>0.6</v>
      </c>
      <c r="I509" s="263">
        <v>13</v>
      </c>
      <c r="J509" s="263">
        <v>12</v>
      </c>
      <c r="K509" s="286"/>
      <c r="L509" s="277">
        <v>0.6</v>
      </c>
      <c r="M509" s="280" t="s">
        <v>115</v>
      </c>
      <c r="N509" s="234" t="s">
        <v>492</v>
      </c>
      <c r="O509" s="281">
        <v>44418</v>
      </c>
      <c r="P509" s="275" t="s">
        <v>65</v>
      </c>
      <c r="Q509" s="263" t="s">
        <v>105</v>
      </c>
      <c r="R509" s="233"/>
      <c r="S509" s="282"/>
      <c r="T509" s="265"/>
      <c r="U509" s="265"/>
      <c r="V509" s="266"/>
      <c r="X509" s="240"/>
      <c r="Y509" s="268"/>
      <c r="Z509" s="240"/>
      <c r="AA509" s="241"/>
    </row>
    <row r="510" spans="1:27" s="267" customFormat="1">
      <c r="A510" s="232">
        <v>502</v>
      </c>
      <c r="B510" s="275" t="s">
        <v>12</v>
      </c>
      <c r="C510" s="275">
        <v>2</v>
      </c>
      <c r="D510" s="276" t="s">
        <v>31</v>
      </c>
      <c r="E510" s="275" t="s">
        <v>197</v>
      </c>
      <c r="F510" s="275">
        <v>27</v>
      </c>
      <c r="G510" s="234" t="s">
        <v>88</v>
      </c>
      <c r="H510" s="277">
        <v>2.2000000000000002</v>
      </c>
      <c r="I510" s="263">
        <v>18</v>
      </c>
      <c r="J510" s="263"/>
      <c r="K510" s="277">
        <v>2.2000000000000002</v>
      </c>
      <c r="L510" s="277"/>
      <c r="M510" s="280" t="s">
        <v>115</v>
      </c>
      <c r="N510" s="234" t="s">
        <v>439</v>
      </c>
      <c r="O510" s="281">
        <v>44217</v>
      </c>
      <c r="P510" s="275" t="s">
        <v>64</v>
      </c>
      <c r="Q510" s="263" t="s">
        <v>42</v>
      </c>
      <c r="R510" s="233"/>
      <c r="S510" s="282"/>
      <c r="T510" s="265"/>
      <c r="U510" s="265"/>
      <c r="V510" s="266" t="s">
        <v>60</v>
      </c>
      <c r="X510" s="240"/>
      <c r="Y510" s="268"/>
      <c r="Z510" s="240"/>
      <c r="AA510" s="241"/>
    </row>
    <row r="511" spans="1:27" s="267" customFormat="1" ht="20.25" customHeight="1">
      <c r="A511" s="232">
        <v>503</v>
      </c>
      <c r="B511" s="275" t="s">
        <v>12</v>
      </c>
      <c r="C511" s="275">
        <v>2</v>
      </c>
      <c r="D511" s="276" t="s">
        <v>31</v>
      </c>
      <c r="E511" s="275" t="s">
        <v>197</v>
      </c>
      <c r="F511" s="275">
        <v>27</v>
      </c>
      <c r="G511" s="234" t="s">
        <v>188</v>
      </c>
      <c r="H511" s="277">
        <v>2.2000000000000002</v>
      </c>
      <c r="I511" s="263">
        <v>12</v>
      </c>
      <c r="J511" s="263"/>
      <c r="K511" s="277">
        <v>2.2000000000000002</v>
      </c>
      <c r="L511" s="277"/>
      <c r="M511" s="280" t="s">
        <v>115</v>
      </c>
      <c r="N511" s="234" t="s">
        <v>439</v>
      </c>
      <c r="O511" s="281">
        <v>44217</v>
      </c>
      <c r="P511" s="275" t="s">
        <v>64</v>
      </c>
      <c r="Q511" s="263" t="s">
        <v>42</v>
      </c>
      <c r="R511" s="233"/>
      <c r="S511" s="282"/>
      <c r="T511" s="265"/>
      <c r="U511" s="265"/>
      <c r="V511" s="266" t="s">
        <v>42</v>
      </c>
      <c r="X511" s="240"/>
      <c r="Y511" s="268"/>
      <c r="Z511" s="240"/>
      <c r="AA511" s="241"/>
    </row>
    <row r="512" spans="1:27" s="267" customFormat="1">
      <c r="A512" s="232">
        <v>504</v>
      </c>
      <c r="B512" s="275" t="s">
        <v>12</v>
      </c>
      <c r="C512" s="275">
        <v>2</v>
      </c>
      <c r="D512" s="276" t="s">
        <v>31</v>
      </c>
      <c r="E512" s="275" t="s">
        <v>26</v>
      </c>
      <c r="F512" s="275">
        <v>32</v>
      </c>
      <c r="G512" s="234" t="s">
        <v>97</v>
      </c>
      <c r="H512" s="277">
        <v>2.4</v>
      </c>
      <c r="I512" s="263">
        <v>4</v>
      </c>
      <c r="J512" s="263"/>
      <c r="K512" s="277">
        <v>2.4</v>
      </c>
      <c r="L512" s="277"/>
      <c r="M512" s="280" t="s">
        <v>115</v>
      </c>
      <c r="N512" s="234" t="s">
        <v>439</v>
      </c>
      <c r="O512" s="281">
        <v>44217</v>
      </c>
      <c r="P512" s="275" t="s">
        <v>64</v>
      </c>
      <c r="Q512" s="263" t="s">
        <v>44</v>
      </c>
      <c r="R512" s="233"/>
      <c r="S512" s="282"/>
      <c r="T512" s="265"/>
      <c r="U512" s="265"/>
      <c r="V512" s="266" t="s">
        <v>42</v>
      </c>
      <c r="X512" s="240"/>
      <c r="Y512" s="268"/>
      <c r="Z512" s="240"/>
      <c r="AA512" s="241"/>
    </row>
    <row r="513" spans="1:27" s="267" customFormat="1">
      <c r="A513" s="232">
        <v>505</v>
      </c>
      <c r="B513" s="275" t="s">
        <v>12</v>
      </c>
      <c r="C513" s="275">
        <v>2</v>
      </c>
      <c r="D513" s="276" t="s">
        <v>31</v>
      </c>
      <c r="E513" s="275" t="s">
        <v>26</v>
      </c>
      <c r="F513" s="275">
        <v>15</v>
      </c>
      <c r="G513" s="234" t="s">
        <v>82</v>
      </c>
      <c r="H513" s="277">
        <v>2.2000000000000002</v>
      </c>
      <c r="I513" s="263">
        <v>6</v>
      </c>
      <c r="J513" s="263"/>
      <c r="K513" s="277">
        <v>2.2000000000000002</v>
      </c>
      <c r="L513" s="277"/>
      <c r="M513" s="280" t="s">
        <v>115</v>
      </c>
      <c r="N513" s="234" t="s">
        <v>439</v>
      </c>
      <c r="O513" s="281">
        <v>44217</v>
      </c>
      <c r="P513" s="275" t="s">
        <v>66</v>
      </c>
      <c r="Q513" s="263" t="s">
        <v>42</v>
      </c>
      <c r="R513" s="233"/>
      <c r="S513" s="282"/>
      <c r="T513" s="265"/>
      <c r="U513" s="265"/>
      <c r="V513" s="266"/>
      <c r="X513" s="240"/>
      <c r="Y513" s="268"/>
      <c r="Z513" s="240"/>
      <c r="AA513" s="241"/>
    </row>
    <row r="514" spans="1:27" s="267" customFormat="1">
      <c r="A514" s="232">
        <v>506</v>
      </c>
      <c r="B514" s="275" t="s">
        <v>12</v>
      </c>
      <c r="C514" s="275">
        <v>2</v>
      </c>
      <c r="D514" s="276" t="s">
        <v>31</v>
      </c>
      <c r="E514" s="275" t="s">
        <v>26</v>
      </c>
      <c r="F514" s="275">
        <v>28</v>
      </c>
      <c r="G514" s="234" t="s">
        <v>79</v>
      </c>
      <c r="H514" s="277">
        <v>1.8</v>
      </c>
      <c r="I514" s="263">
        <v>52</v>
      </c>
      <c r="J514" s="263"/>
      <c r="K514" s="277">
        <v>1.8</v>
      </c>
      <c r="L514" s="277"/>
      <c r="M514" s="280" t="s">
        <v>115</v>
      </c>
      <c r="N514" s="234" t="s">
        <v>439</v>
      </c>
      <c r="O514" s="281">
        <v>44217</v>
      </c>
      <c r="P514" s="275" t="s">
        <v>66</v>
      </c>
      <c r="Q514" s="263" t="s">
        <v>42</v>
      </c>
      <c r="R514" s="233"/>
      <c r="S514" s="282"/>
      <c r="T514" s="265"/>
      <c r="U514" s="265"/>
      <c r="V514" s="266"/>
      <c r="X514" s="240"/>
      <c r="Y514" s="268"/>
      <c r="Z514" s="240"/>
      <c r="AA514" s="241"/>
    </row>
    <row r="515" spans="1:27" s="267" customFormat="1">
      <c r="A515" s="232">
        <v>507</v>
      </c>
      <c r="B515" s="275" t="s">
        <v>12</v>
      </c>
      <c r="C515" s="275">
        <v>2</v>
      </c>
      <c r="D515" s="276" t="s">
        <v>31</v>
      </c>
      <c r="E515" s="275" t="s">
        <v>26</v>
      </c>
      <c r="F515" s="275">
        <v>28</v>
      </c>
      <c r="G515" s="234" t="s">
        <v>85</v>
      </c>
      <c r="H515" s="277">
        <v>0.3</v>
      </c>
      <c r="I515" s="263">
        <v>2</v>
      </c>
      <c r="J515" s="263"/>
      <c r="K515" s="277">
        <v>0.3</v>
      </c>
      <c r="L515" s="277"/>
      <c r="M515" s="280" t="s">
        <v>115</v>
      </c>
      <c r="N515" s="234" t="s">
        <v>439</v>
      </c>
      <c r="O515" s="281">
        <v>44217</v>
      </c>
      <c r="P515" s="275" t="s">
        <v>64</v>
      </c>
      <c r="Q515" s="263" t="s">
        <v>42</v>
      </c>
      <c r="R515" s="233"/>
      <c r="S515" s="282"/>
      <c r="T515" s="265"/>
      <c r="U515" s="265"/>
      <c r="V515" s="266"/>
      <c r="X515" s="240"/>
      <c r="Y515" s="268"/>
      <c r="Z515" s="240"/>
      <c r="AA515" s="241"/>
    </row>
    <row r="516" spans="1:27" s="267" customFormat="1">
      <c r="A516" s="232">
        <v>508</v>
      </c>
      <c r="B516" s="275" t="s">
        <v>12</v>
      </c>
      <c r="C516" s="275">
        <v>2</v>
      </c>
      <c r="D516" s="276" t="s">
        <v>31</v>
      </c>
      <c r="E516" s="275" t="s">
        <v>26</v>
      </c>
      <c r="F516" s="275">
        <v>34</v>
      </c>
      <c r="G516" s="234" t="s">
        <v>69</v>
      </c>
      <c r="H516" s="277">
        <v>2.8</v>
      </c>
      <c r="I516" s="263">
        <v>36</v>
      </c>
      <c r="J516" s="263"/>
      <c r="K516" s="277">
        <v>2.8</v>
      </c>
      <c r="L516" s="277"/>
      <c r="M516" s="280" t="s">
        <v>115</v>
      </c>
      <c r="N516" s="234" t="s">
        <v>439</v>
      </c>
      <c r="O516" s="281">
        <v>44217</v>
      </c>
      <c r="P516" s="275" t="s">
        <v>64</v>
      </c>
      <c r="Q516" s="263" t="s">
        <v>42</v>
      </c>
      <c r="R516" s="233"/>
      <c r="S516" s="282"/>
      <c r="T516" s="265"/>
      <c r="U516" s="265"/>
      <c r="V516" s="266"/>
      <c r="X516" s="240"/>
      <c r="Y516" s="268"/>
      <c r="Z516" s="240"/>
      <c r="AA516" s="241"/>
    </row>
    <row r="517" spans="1:27" s="267" customFormat="1">
      <c r="A517" s="232">
        <v>509</v>
      </c>
      <c r="B517" s="275" t="s">
        <v>12</v>
      </c>
      <c r="C517" s="275">
        <v>2</v>
      </c>
      <c r="D517" s="276" t="s">
        <v>31</v>
      </c>
      <c r="E517" s="275" t="s">
        <v>26</v>
      </c>
      <c r="F517" s="275">
        <v>27</v>
      </c>
      <c r="G517" s="234" t="s">
        <v>90</v>
      </c>
      <c r="H517" s="277">
        <v>0.9</v>
      </c>
      <c r="I517" s="263">
        <v>4</v>
      </c>
      <c r="J517" s="263"/>
      <c r="K517" s="277">
        <v>0.9</v>
      </c>
      <c r="L517" s="277"/>
      <c r="M517" s="280" t="s">
        <v>115</v>
      </c>
      <c r="N517" s="234" t="s">
        <v>439</v>
      </c>
      <c r="O517" s="281">
        <v>44217</v>
      </c>
      <c r="P517" s="275" t="s">
        <v>66</v>
      </c>
      <c r="Q517" s="263" t="s">
        <v>42</v>
      </c>
      <c r="R517" s="233"/>
      <c r="S517" s="282"/>
      <c r="T517" s="265"/>
      <c r="U517" s="265"/>
      <c r="V517" s="266"/>
      <c r="X517" s="240"/>
      <c r="Y517" s="268"/>
      <c r="Z517" s="240"/>
      <c r="AA517" s="241"/>
    </row>
    <row r="518" spans="1:27" s="267" customFormat="1">
      <c r="A518" s="232">
        <v>510</v>
      </c>
      <c r="B518" s="275" t="s">
        <v>12</v>
      </c>
      <c r="C518" s="275">
        <v>2</v>
      </c>
      <c r="D518" s="276" t="s">
        <v>23</v>
      </c>
      <c r="E518" s="275" t="s">
        <v>26</v>
      </c>
      <c r="F518" s="275">
        <v>35</v>
      </c>
      <c r="G518" s="234" t="s">
        <v>68</v>
      </c>
      <c r="H518" s="277">
        <v>3</v>
      </c>
      <c r="I518" s="263">
        <v>45</v>
      </c>
      <c r="J518" s="263">
        <v>13</v>
      </c>
      <c r="K518" s="277">
        <v>3</v>
      </c>
      <c r="L518" s="277"/>
      <c r="M518" s="280" t="s">
        <v>115</v>
      </c>
      <c r="N518" s="234" t="s">
        <v>440</v>
      </c>
      <c r="O518" s="281">
        <v>44217</v>
      </c>
      <c r="P518" s="275" t="s">
        <v>66</v>
      </c>
      <c r="Q518" s="263" t="s">
        <v>42</v>
      </c>
      <c r="R518" s="233"/>
      <c r="S518" s="282"/>
      <c r="T518" s="265"/>
      <c r="U518" s="265"/>
      <c r="V518" s="266"/>
      <c r="X518" s="240"/>
      <c r="Y518" s="268"/>
      <c r="Z518" s="240"/>
      <c r="AA518" s="241"/>
    </row>
    <row r="519" spans="1:27" s="267" customFormat="1">
      <c r="A519" s="232">
        <v>511</v>
      </c>
      <c r="B519" s="275" t="s">
        <v>12</v>
      </c>
      <c r="C519" s="275">
        <v>2</v>
      </c>
      <c r="D519" s="276" t="s">
        <v>23</v>
      </c>
      <c r="E519" s="275" t="s">
        <v>26</v>
      </c>
      <c r="F519" s="275">
        <v>15</v>
      </c>
      <c r="G519" s="234" t="s">
        <v>75</v>
      </c>
      <c r="H519" s="277">
        <v>0.6</v>
      </c>
      <c r="I519" s="263">
        <v>4</v>
      </c>
      <c r="J519" s="263">
        <v>3</v>
      </c>
      <c r="K519" s="277">
        <v>0.6</v>
      </c>
      <c r="L519" s="277"/>
      <c r="M519" s="280" t="s">
        <v>115</v>
      </c>
      <c r="N519" s="234" t="s">
        <v>440</v>
      </c>
      <c r="O519" s="281">
        <v>44217</v>
      </c>
      <c r="P519" s="275" t="s">
        <v>66</v>
      </c>
      <c r="Q519" s="263" t="s">
        <v>42</v>
      </c>
      <c r="R519" s="233"/>
      <c r="S519" s="282"/>
      <c r="T519" s="265"/>
      <c r="U519" s="265"/>
      <c r="V519" s="266"/>
      <c r="X519" s="240"/>
      <c r="Y519" s="268"/>
      <c r="Z519" s="240"/>
      <c r="AA519" s="241"/>
    </row>
    <row r="520" spans="1:27" s="267" customFormat="1">
      <c r="A520" s="232">
        <v>512</v>
      </c>
      <c r="B520" s="275" t="s">
        <v>12</v>
      </c>
      <c r="C520" s="275">
        <v>2</v>
      </c>
      <c r="D520" s="276" t="s">
        <v>23</v>
      </c>
      <c r="E520" s="275" t="s">
        <v>26</v>
      </c>
      <c r="F520" s="275">
        <v>32</v>
      </c>
      <c r="G520" s="234" t="s">
        <v>69</v>
      </c>
      <c r="H520" s="277">
        <v>6.4</v>
      </c>
      <c r="I520" s="263">
        <v>149</v>
      </c>
      <c r="J520" s="263"/>
      <c r="K520" s="277">
        <v>6.4</v>
      </c>
      <c r="L520" s="277"/>
      <c r="M520" s="280" t="s">
        <v>115</v>
      </c>
      <c r="N520" s="234" t="s">
        <v>440</v>
      </c>
      <c r="O520" s="281">
        <v>44217</v>
      </c>
      <c r="P520" s="275" t="s">
        <v>64</v>
      </c>
      <c r="Q520" s="263" t="s">
        <v>44</v>
      </c>
      <c r="R520" s="233"/>
      <c r="S520" s="282"/>
      <c r="T520" s="265"/>
      <c r="U520" s="265"/>
      <c r="V520" s="266"/>
      <c r="X520" s="240"/>
      <c r="Y520" s="268"/>
      <c r="Z520" s="240"/>
      <c r="AA520" s="241"/>
    </row>
    <row r="521" spans="1:27" s="267" customFormat="1">
      <c r="A521" s="232">
        <v>513</v>
      </c>
      <c r="B521" s="275" t="s">
        <v>12</v>
      </c>
      <c r="C521" s="275">
        <v>2</v>
      </c>
      <c r="D521" s="276" t="s">
        <v>23</v>
      </c>
      <c r="E521" s="275" t="s">
        <v>26</v>
      </c>
      <c r="F521" s="275">
        <v>55</v>
      </c>
      <c r="G521" s="234" t="s">
        <v>71</v>
      </c>
      <c r="H521" s="277">
        <v>5.8</v>
      </c>
      <c r="I521" s="263">
        <v>65</v>
      </c>
      <c r="J521" s="263">
        <v>13</v>
      </c>
      <c r="K521" s="277">
        <v>5.8</v>
      </c>
      <c r="L521" s="277"/>
      <c r="M521" s="280" t="s">
        <v>115</v>
      </c>
      <c r="N521" s="234" t="s">
        <v>440</v>
      </c>
      <c r="O521" s="281">
        <v>44217</v>
      </c>
      <c r="P521" s="275" t="s">
        <v>64</v>
      </c>
      <c r="Q521" s="263" t="s">
        <v>60</v>
      </c>
      <c r="R521" s="233"/>
      <c r="S521" s="282"/>
      <c r="T521" s="265"/>
      <c r="U521" s="265"/>
      <c r="V521" s="266"/>
      <c r="X521" s="240"/>
      <c r="Y521" s="268"/>
      <c r="Z521" s="240"/>
      <c r="AA521" s="241"/>
    </row>
    <row r="522" spans="1:27" s="267" customFormat="1">
      <c r="A522" s="232">
        <v>514</v>
      </c>
      <c r="B522" s="275" t="s">
        <v>12</v>
      </c>
      <c r="C522" s="275">
        <v>2</v>
      </c>
      <c r="D522" s="276" t="s">
        <v>23</v>
      </c>
      <c r="E522" s="275" t="s">
        <v>26</v>
      </c>
      <c r="F522" s="275">
        <v>32</v>
      </c>
      <c r="G522" s="234" t="s">
        <v>67</v>
      </c>
      <c r="H522" s="277">
        <v>4</v>
      </c>
      <c r="I522" s="263">
        <v>111</v>
      </c>
      <c r="J522" s="263">
        <v>17</v>
      </c>
      <c r="K522" s="277">
        <v>4</v>
      </c>
      <c r="L522" s="277"/>
      <c r="M522" s="280" t="s">
        <v>115</v>
      </c>
      <c r="N522" s="234" t="s">
        <v>440</v>
      </c>
      <c r="O522" s="281">
        <v>44217</v>
      </c>
      <c r="P522" s="275" t="s">
        <v>64</v>
      </c>
      <c r="Q522" s="263" t="s">
        <v>44</v>
      </c>
      <c r="R522" s="233"/>
      <c r="S522" s="282"/>
      <c r="T522" s="265"/>
      <c r="U522" s="265"/>
      <c r="V522" s="266"/>
      <c r="X522" s="240"/>
      <c r="Y522" s="268"/>
      <c r="Z522" s="240"/>
      <c r="AA522" s="241"/>
    </row>
    <row r="523" spans="1:27" s="267" customFormat="1">
      <c r="A523" s="232">
        <v>515</v>
      </c>
      <c r="B523" s="275" t="s">
        <v>12</v>
      </c>
      <c r="C523" s="275">
        <v>2</v>
      </c>
      <c r="D523" s="276" t="s">
        <v>231</v>
      </c>
      <c r="E523" s="275" t="s">
        <v>26</v>
      </c>
      <c r="F523" s="275">
        <v>15</v>
      </c>
      <c r="G523" s="234" t="s">
        <v>88</v>
      </c>
      <c r="H523" s="277">
        <v>6.6</v>
      </c>
      <c r="I523" s="263">
        <v>88</v>
      </c>
      <c r="J523" s="263">
        <v>12</v>
      </c>
      <c r="K523" s="277">
        <v>6.6</v>
      </c>
      <c r="L523" s="277"/>
      <c r="M523" s="280" t="s">
        <v>115</v>
      </c>
      <c r="N523" s="234" t="s">
        <v>440</v>
      </c>
      <c r="O523" s="281">
        <v>44217</v>
      </c>
      <c r="P523" s="275" t="s">
        <v>64</v>
      </c>
      <c r="Q523" s="263" t="s">
        <v>42</v>
      </c>
      <c r="R523" s="233"/>
      <c r="S523" s="282"/>
      <c r="T523" s="265"/>
      <c r="U523" s="265"/>
      <c r="V523" s="266"/>
      <c r="X523" s="240"/>
      <c r="Y523" s="268"/>
      <c r="Z523" s="240"/>
      <c r="AA523" s="241"/>
    </row>
    <row r="524" spans="1:27" s="267" customFormat="1">
      <c r="A524" s="232">
        <v>516</v>
      </c>
      <c r="B524" s="275" t="s">
        <v>12</v>
      </c>
      <c r="C524" s="275">
        <v>2</v>
      </c>
      <c r="D524" s="276" t="s">
        <v>23</v>
      </c>
      <c r="E524" s="275" t="s">
        <v>26</v>
      </c>
      <c r="F524" s="275">
        <v>38</v>
      </c>
      <c r="G524" s="234" t="s">
        <v>67</v>
      </c>
      <c r="H524" s="277">
        <v>6.3</v>
      </c>
      <c r="I524" s="263">
        <v>66</v>
      </c>
      <c r="J524" s="263">
        <v>19</v>
      </c>
      <c r="K524" s="277">
        <v>6.3</v>
      </c>
      <c r="L524" s="277"/>
      <c r="M524" s="280" t="s">
        <v>115</v>
      </c>
      <c r="N524" s="234" t="s">
        <v>440</v>
      </c>
      <c r="O524" s="281">
        <v>44217</v>
      </c>
      <c r="P524" s="275" t="s">
        <v>64</v>
      </c>
      <c r="Q524" s="263" t="s">
        <v>60</v>
      </c>
      <c r="R524" s="233"/>
      <c r="S524" s="282"/>
      <c r="T524" s="265"/>
      <c r="U524" s="265"/>
      <c r="V524" s="266"/>
      <c r="X524" s="240"/>
      <c r="Y524" s="268"/>
      <c r="Z524" s="240"/>
      <c r="AA524" s="241"/>
    </row>
    <row r="525" spans="1:27" s="267" customFormat="1">
      <c r="A525" s="232">
        <v>517</v>
      </c>
      <c r="B525" s="275" t="s">
        <v>12</v>
      </c>
      <c r="C525" s="275">
        <v>2</v>
      </c>
      <c r="D525" s="276" t="s">
        <v>24</v>
      </c>
      <c r="E525" s="275" t="s">
        <v>26</v>
      </c>
      <c r="F525" s="275">
        <v>56</v>
      </c>
      <c r="G525" s="234" t="s">
        <v>71</v>
      </c>
      <c r="H525" s="277">
        <v>5.6</v>
      </c>
      <c r="I525" s="263">
        <v>87</v>
      </c>
      <c r="J525" s="263">
        <v>82</v>
      </c>
      <c r="K525" s="286">
        <v>5.6</v>
      </c>
      <c r="L525" s="277"/>
      <c r="M525" s="280" t="s">
        <v>115</v>
      </c>
      <c r="N525" s="234" t="s">
        <v>441</v>
      </c>
      <c r="O525" s="281">
        <v>44217</v>
      </c>
      <c r="P525" s="275" t="s">
        <v>64</v>
      </c>
      <c r="Q525" s="263" t="s">
        <v>60</v>
      </c>
      <c r="R525" s="233"/>
      <c r="S525" s="282"/>
      <c r="T525" s="265"/>
      <c r="U525" s="265"/>
      <c r="V525" s="266"/>
      <c r="X525" s="240"/>
      <c r="Y525" s="268"/>
      <c r="Z525" s="240"/>
      <c r="AA525" s="241"/>
    </row>
    <row r="526" spans="1:27" s="267" customFormat="1">
      <c r="A526" s="232">
        <v>518</v>
      </c>
      <c r="B526" s="275" t="s">
        <v>12</v>
      </c>
      <c r="C526" s="275">
        <v>2</v>
      </c>
      <c r="D526" s="276" t="s">
        <v>24</v>
      </c>
      <c r="E526" s="275" t="s">
        <v>26</v>
      </c>
      <c r="F526" s="275">
        <v>38</v>
      </c>
      <c r="G526" s="234" t="s">
        <v>72</v>
      </c>
      <c r="H526" s="277">
        <v>3.5</v>
      </c>
      <c r="I526" s="263">
        <v>87</v>
      </c>
      <c r="J526" s="263">
        <v>62</v>
      </c>
      <c r="K526" s="286">
        <v>3.5</v>
      </c>
      <c r="L526" s="277"/>
      <c r="M526" s="280" t="s">
        <v>115</v>
      </c>
      <c r="N526" s="234" t="s">
        <v>441</v>
      </c>
      <c r="O526" s="281">
        <v>44217</v>
      </c>
      <c r="P526" s="275" t="s">
        <v>64</v>
      </c>
      <c r="Q526" s="263" t="s">
        <v>60</v>
      </c>
      <c r="R526" s="233"/>
      <c r="S526" s="282"/>
      <c r="T526" s="265"/>
      <c r="U526" s="265"/>
      <c r="V526" s="266"/>
      <c r="X526" s="240"/>
      <c r="Y526" s="268"/>
      <c r="Z526" s="240"/>
      <c r="AA526" s="241"/>
    </row>
    <row r="527" spans="1:27" s="267" customFormat="1">
      <c r="A527" s="232">
        <v>519</v>
      </c>
      <c r="B527" s="275" t="s">
        <v>12</v>
      </c>
      <c r="C527" s="275">
        <v>2</v>
      </c>
      <c r="D527" s="276" t="s">
        <v>22</v>
      </c>
      <c r="E527" s="275" t="s">
        <v>26</v>
      </c>
      <c r="F527" s="275">
        <v>23</v>
      </c>
      <c r="G527" s="234" t="s">
        <v>67</v>
      </c>
      <c r="H527" s="277">
        <v>2.2999999999999998</v>
      </c>
      <c r="I527" s="263">
        <v>73</v>
      </c>
      <c r="J527" s="263">
        <v>59</v>
      </c>
      <c r="K527" s="286">
        <v>2.2999999999999998</v>
      </c>
      <c r="L527" s="277"/>
      <c r="M527" s="280" t="s">
        <v>115</v>
      </c>
      <c r="N527" s="234" t="s">
        <v>442</v>
      </c>
      <c r="O527" s="281">
        <v>44217</v>
      </c>
      <c r="P527" s="275" t="s">
        <v>64</v>
      </c>
      <c r="Q527" s="263" t="s">
        <v>42</v>
      </c>
      <c r="R527" s="233"/>
      <c r="S527" s="282"/>
      <c r="T527" s="265"/>
      <c r="U527" s="265"/>
      <c r="V527" s="266"/>
      <c r="X527" s="240"/>
      <c r="Y527" s="268"/>
      <c r="Z527" s="240"/>
      <c r="AA527" s="241"/>
    </row>
    <row r="528" spans="1:27" s="267" customFormat="1">
      <c r="A528" s="232">
        <v>520</v>
      </c>
      <c r="B528" s="275" t="s">
        <v>12</v>
      </c>
      <c r="C528" s="275">
        <v>2</v>
      </c>
      <c r="D528" s="276" t="s">
        <v>32</v>
      </c>
      <c r="E528" s="275" t="s">
        <v>26</v>
      </c>
      <c r="F528" s="275">
        <v>16</v>
      </c>
      <c r="G528" s="234" t="s">
        <v>88</v>
      </c>
      <c r="H528" s="277">
        <v>2.5</v>
      </c>
      <c r="I528" s="263">
        <v>192</v>
      </c>
      <c r="J528" s="263">
        <v>174</v>
      </c>
      <c r="K528" s="277">
        <v>2.5</v>
      </c>
      <c r="L528" s="277"/>
      <c r="M528" s="280" t="s">
        <v>115</v>
      </c>
      <c r="N528" s="234" t="s">
        <v>443</v>
      </c>
      <c r="O528" s="281">
        <v>44217</v>
      </c>
      <c r="P528" s="275" t="s">
        <v>64</v>
      </c>
      <c r="Q528" s="263" t="s">
        <v>42</v>
      </c>
      <c r="R528" s="233"/>
      <c r="S528" s="282"/>
      <c r="T528" s="265"/>
      <c r="U528" s="265"/>
      <c r="V528" s="266"/>
      <c r="X528" s="240"/>
      <c r="Y528" s="268"/>
      <c r="Z528" s="240"/>
      <c r="AA528" s="241"/>
    </row>
    <row r="529" spans="1:27" s="267" customFormat="1">
      <c r="A529" s="232">
        <v>521</v>
      </c>
      <c r="B529" s="275" t="s">
        <v>12</v>
      </c>
      <c r="C529" s="275">
        <v>2</v>
      </c>
      <c r="D529" s="276" t="s">
        <v>32</v>
      </c>
      <c r="E529" s="275" t="s">
        <v>26</v>
      </c>
      <c r="F529" s="275">
        <v>16</v>
      </c>
      <c r="G529" s="234" t="s">
        <v>89</v>
      </c>
      <c r="H529" s="277">
        <v>9.9</v>
      </c>
      <c r="I529" s="263">
        <v>154</v>
      </c>
      <c r="J529" s="263">
        <v>134</v>
      </c>
      <c r="K529" s="277">
        <v>9.9</v>
      </c>
      <c r="L529" s="277"/>
      <c r="M529" s="280" t="s">
        <v>115</v>
      </c>
      <c r="N529" s="234" t="s">
        <v>443</v>
      </c>
      <c r="O529" s="281">
        <v>44217</v>
      </c>
      <c r="P529" s="275" t="s">
        <v>64</v>
      </c>
      <c r="Q529" s="263" t="s">
        <v>42</v>
      </c>
      <c r="R529" s="233"/>
      <c r="S529" s="282"/>
      <c r="T529" s="265"/>
      <c r="U529" s="265"/>
      <c r="V529" s="266"/>
      <c r="X529" s="240"/>
      <c r="Y529" s="268"/>
      <c r="Z529" s="240"/>
      <c r="AA529" s="241"/>
    </row>
    <row r="530" spans="1:27" s="268" customFormat="1">
      <c r="A530" s="232">
        <v>522</v>
      </c>
      <c r="B530" s="275" t="s">
        <v>12</v>
      </c>
      <c r="C530" s="275">
        <v>2</v>
      </c>
      <c r="D530" s="276" t="s">
        <v>32</v>
      </c>
      <c r="E530" s="275" t="s">
        <v>26</v>
      </c>
      <c r="F530" s="275">
        <v>27</v>
      </c>
      <c r="G530" s="234" t="s">
        <v>79</v>
      </c>
      <c r="H530" s="277">
        <v>1.6</v>
      </c>
      <c r="I530" s="263">
        <v>46</v>
      </c>
      <c r="J530" s="263">
        <v>40</v>
      </c>
      <c r="K530" s="277">
        <v>1.6</v>
      </c>
      <c r="L530" s="277"/>
      <c r="M530" s="280" t="s">
        <v>115</v>
      </c>
      <c r="N530" s="234" t="s">
        <v>443</v>
      </c>
      <c r="O530" s="281">
        <v>44217</v>
      </c>
      <c r="P530" s="275" t="s">
        <v>64</v>
      </c>
      <c r="Q530" s="263" t="s">
        <v>42</v>
      </c>
      <c r="R530" s="233"/>
      <c r="S530" s="282"/>
      <c r="T530" s="265"/>
      <c r="U530" s="265"/>
      <c r="V530" s="266"/>
      <c r="W530" s="267"/>
      <c r="X530" s="240"/>
      <c r="Z530" s="240"/>
      <c r="AA530" s="241"/>
    </row>
    <row r="531" spans="1:27" s="268" customFormat="1">
      <c r="A531" s="232">
        <v>523</v>
      </c>
      <c r="B531" s="275" t="s">
        <v>12</v>
      </c>
      <c r="C531" s="275">
        <v>2</v>
      </c>
      <c r="D531" s="276" t="s">
        <v>32</v>
      </c>
      <c r="E531" s="275" t="s">
        <v>26</v>
      </c>
      <c r="F531" s="275">
        <v>28</v>
      </c>
      <c r="G531" s="234" t="s">
        <v>72</v>
      </c>
      <c r="H531" s="277">
        <v>0.4</v>
      </c>
      <c r="I531" s="263">
        <v>28</v>
      </c>
      <c r="J531" s="263">
        <v>25</v>
      </c>
      <c r="K531" s="277">
        <v>0.4</v>
      </c>
      <c r="L531" s="277"/>
      <c r="M531" s="280" t="s">
        <v>115</v>
      </c>
      <c r="N531" s="234" t="s">
        <v>443</v>
      </c>
      <c r="O531" s="281">
        <v>44217</v>
      </c>
      <c r="P531" s="275" t="s">
        <v>64</v>
      </c>
      <c r="Q531" s="263" t="s">
        <v>42</v>
      </c>
      <c r="R531" s="233"/>
      <c r="S531" s="282"/>
      <c r="T531" s="265"/>
      <c r="U531" s="265"/>
      <c r="V531" s="266"/>
      <c r="W531" s="267"/>
      <c r="X531" s="240"/>
      <c r="Z531" s="240"/>
      <c r="AA531" s="241"/>
    </row>
    <row r="532" spans="1:27" s="268" customFormat="1">
      <c r="A532" s="232">
        <v>524</v>
      </c>
      <c r="B532" s="275" t="s">
        <v>12</v>
      </c>
      <c r="C532" s="275">
        <v>2</v>
      </c>
      <c r="D532" s="276" t="s">
        <v>32</v>
      </c>
      <c r="E532" s="275" t="s">
        <v>26</v>
      </c>
      <c r="F532" s="275">
        <v>41</v>
      </c>
      <c r="G532" s="234" t="s">
        <v>74</v>
      </c>
      <c r="H532" s="277">
        <v>5.8</v>
      </c>
      <c r="I532" s="263">
        <v>269</v>
      </c>
      <c r="J532" s="263">
        <v>251</v>
      </c>
      <c r="K532" s="277">
        <v>5.8</v>
      </c>
      <c r="L532" s="277"/>
      <c r="M532" s="280" t="s">
        <v>115</v>
      </c>
      <c r="N532" s="234" t="s">
        <v>443</v>
      </c>
      <c r="O532" s="281">
        <v>44217</v>
      </c>
      <c r="P532" s="275" t="s">
        <v>64</v>
      </c>
      <c r="Q532" s="263" t="s">
        <v>42</v>
      </c>
      <c r="R532" s="233"/>
      <c r="S532" s="282"/>
      <c r="T532" s="265"/>
      <c r="U532" s="265"/>
      <c r="V532" s="266"/>
      <c r="W532" s="267"/>
      <c r="X532" s="240"/>
      <c r="Z532" s="240"/>
      <c r="AA532" s="241"/>
    </row>
    <row r="533" spans="1:27" s="268" customFormat="1">
      <c r="A533" s="232">
        <v>525</v>
      </c>
      <c r="B533" s="275" t="s">
        <v>12</v>
      </c>
      <c r="C533" s="275">
        <v>2</v>
      </c>
      <c r="D533" s="276" t="s">
        <v>32</v>
      </c>
      <c r="E533" s="275" t="s">
        <v>26</v>
      </c>
      <c r="F533" s="275">
        <v>42</v>
      </c>
      <c r="G533" s="234" t="s">
        <v>75</v>
      </c>
      <c r="H533" s="277">
        <v>15</v>
      </c>
      <c r="I533" s="263">
        <v>444</v>
      </c>
      <c r="J533" s="263">
        <f>352+14</f>
        <v>366</v>
      </c>
      <c r="K533" s="277">
        <v>15</v>
      </c>
      <c r="L533" s="277"/>
      <c r="M533" s="280" t="s">
        <v>115</v>
      </c>
      <c r="N533" s="234" t="s">
        <v>443</v>
      </c>
      <c r="O533" s="281">
        <v>44217</v>
      </c>
      <c r="P533" s="275" t="s">
        <v>64</v>
      </c>
      <c r="Q533" s="263" t="s">
        <v>42</v>
      </c>
      <c r="R533" s="233"/>
      <c r="S533" s="282"/>
      <c r="T533" s="265"/>
      <c r="U533" s="265"/>
      <c r="V533" s="266"/>
      <c r="W533" s="267"/>
      <c r="X533" s="240"/>
      <c r="Z533" s="240"/>
      <c r="AA533" s="241"/>
    </row>
    <row r="534" spans="1:27" s="268" customFormat="1">
      <c r="A534" s="232">
        <v>526</v>
      </c>
      <c r="B534" s="275" t="s">
        <v>12</v>
      </c>
      <c r="C534" s="275">
        <v>2</v>
      </c>
      <c r="D534" s="276" t="s">
        <v>32</v>
      </c>
      <c r="E534" s="275" t="s">
        <v>26</v>
      </c>
      <c r="F534" s="275">
        <v>56</v>
      </c>
      <c r="G534" s="234" t="s">
        <v>88</v>
      </c>
      <c r="H534" s="277">
        <v>3</v>
      </c>
      <c r="I534" s="263">
        <v>195</v>
      </c>
      <c r="J534" s="263">
        <v>176</v>
      </c>
      <c r="K534" s="277">
        <v>3</v>
      </c>
      <c r="L534" s="277"/>
      <c r="M534" s="280" t="s">
        <v>115</v>
      </c>
      <c r="N534" s="234" t="s">
        <v>443</v>
      </c>
      <c r="O534" s="281">
        <v>44217</v>
      </c>
      <c r="P534" s="275" t="s">
        <v>64</v>
      </c>
      <c r="Q534" s="263" t="s">
        <v>60</v>
      </c>
      <c r="R534" s="233"/>
      <c r="S534" s="282"/>
      <c r="T534" s="265"/>
      <c r="U534" s="265"/>
      <c r="V534" s="266"/>
      <c r="W534" s="267"/>
      <c r="X534" s="240"/>
      <c r="Z534" s="240"/>
      <c r="AA534" s="241"/>
    </row>
    <row r="535" spans="1:27" s="268" customFormat="1">
      <c r="A535" s="232">
        <v>527</v>
      </c>
      <c r="B535" s="275" t="s">
        <v>12</v>
      </c>
      <c r="C535" s="275">
        <v>2</v>
      </c>
      <c r="D535" s="276" t="s">
        <v>32</v>
      </c>
      <c r="E535" s="275" t="s">
        <v>26</v>
      </c>
      <c r="F535" s="275">
        <v>6</v>
      </c>
      <c r="G535" s="234" t="s">
        <v>97</v>
      </c>
      <c r="H535" s="277">
        <v>0.8</v>
      </c>
      <c r="I535" s="263">
        <v>20</v>
      </c>
      <c r="J535" s="263">
        <v>18</v>
      </c>
      <c r="K535" s="277">
        <v>0.8</v>
      </c>
      <c r="L535" s="277"/>
      <c r="M535" s="280" t="s">
        <v>115</v>
      </c>
      <c r="N535" s="234" t="s">
        <v>443</v>
      </c>
      <c r="O535" s="281">
        <v>44217</v>
      </c>
      <c r="P535" s="275" t="s">
        <v>64</v>
      </c>
      <c r="Q535" s="263" t="s">
        <v>42</v>
      </c>
      <c r="R535" s="233"/>
      <c r="S535" s="282"/>
      <c r="T535" s="265"/>
      <c r="U535" s="265"/>
      <c r="V535" s="266"/>
      <c r="W535" s="267"/>
      <c r="X535" s="240"/>
      <c r="Z535" s="240"/>
      <c r="AA535" s="241"/>
    </row>
    <row r="536" spans="1:27" s="268" customFormat="1">
      <c r="A536" s="232">
        <v>528</v>
      </c>
      <c r="B536" s="275" t="s">
        <v>12</v>
      </c>
      <c r="C536" s="275">
        <v>2</v>
      </c>
      <c r="D536" s="276" t="s">
        <v>32</v>
      </c>
      <c r="E536" s="275" t="s">
        <v>26</v>
      </c>
      <c r="F536" s="275">
        <v>61</v>
      </c>
      <c r="G536" s="234" t="s">
        <v>82</v>
      </c>
      <c r="H536" s="277">
        <v>0.5</v>
      </c>
      <c r="I536" s="263">
        <v>12</v>
      </c>
      <c r="J536" s="263">
        <v>11</v>
      </c>
      <c r="K536" s="277">
        <v>0.5</v>
      </c>
      <c r="L536" s="277"/>
      <c r="M536" s="280" t="s">
        <v>115</v>
      </c>
      <c r="N536" s="234" t="s">
        <v>443</v>
      </c>
      <c r="O536" s="281">
        <v>44217</v>
      </c>
      <c r="P536" s="275" t="s">
        <v>66</v>
      </c>
      <c r="Q536" s="263" t="s">
        <v>60</v>
      </c>
      <c r="R536" s="233"/>
      <c r="S536" s="282"/>
      <c r="T536" s="265"/>
      <c r="U536" s="265"/>
      <c r="V536" s="266"/>
      <c r="W536" s="267"/>
      <c r="X536" s="240"/>
      <c r="Z536" s="240"/>
      <c r="AA536" s="241"/>
    </row>
    <row r="537" spans="1:27" s="268" customFormat="1">
      <c r="A537" s="232">
        <v>529</v>
      </c>
      <c r="B537" s="275" t="s">
        <v>12</v>
      </c>
      <c r="C537" s="275">
        <v>2</v>
      </c>
      <c r="D537" s="276" t="s">
        <v>32</v>
      </c>
      <c r="E537" s="275" t="s">
        <v>26</v>
      </c>
      <c r="F537" s="275">
        <v>61</v>
      </c>
      <c r="G537" s="234" t="s">
        <v>69</v>
      </c>
      <c r="H537" s="277">
        <v>1.8</v>
      </c>
      <c r="I537" s="263">
        <v>62</v>
      </c>
      <c r="J537" s="263">
        <v>55</v>
      </c>
      <c r="K537" s="277">
        <v>1.8</v>
      </c>
      <c r="L537" s="277"/>
      <c r="M537" s="280" t="s">
        <v>115</v>
      </c>
      <c r="N537" s="234" t="s">
        <v>443</v>
      </c>
      <c r="O537" s="281">
        <v>44217</v>
      </c>
      <c r="P537" s="275" t="s">
        <v>66</v>
      </c>
      <c r="Q537" s="263" t="s">
        <v>60</v>
      </c>
      <c r="R537" s="233"/>
      <c r="S537" s="282"/>
      <c r="T537" s="265"/>
      <c r="U537" s="265"/>
      <c r="V537" s="266"/>
      <c r="W537" s="267"/>
      <c r="X537" s="240"/>
      <c r="Z537" s="240"/>
      <c r="AA537" s="241"/>
    </row>
    <row r="538" spans="1:27" s="268" customFormat="1">
      <c r="A538" s="232">
        <v>530</v>
      </c>
      <c r="B538" s="275" t="s">
        <v>12</v>
      </c>
      <c r="C538" s="275">
        <v>2</v>
      </c>
      <c r="D538" s="276" t="s">
        <v>32</v>
      </c>
      <c r="E538" s="275" t="s">
        <v>26</v>
      </c>
      <c r="F538" s="275">
        <v>65</v>
      </c>
      <c r="G538" s="234" t="s">
        <v>72</v>
      </c>
      <c r="H538" s="277">
        <v>2.2000000000000002</v>
      </c>
      <c r="I538" s="263">
        <v>141</v>
      </c>
      <c r="J538" s="263">
        <v>121</v>
      </c>
      <c r="K538" s="277">
        <v>2.2000000000000002</v>
      </c>
      <c r="L538" s="277"/>
      <c r="M538" s="280" t="s">
        <v>115</v>
      </c>
      <c r="N538" s="234" t="s">
        <v>443</v>
      </c>
      <c r="O538" s="281">
        <v>44217</v>
      </c>
      <c r="P538" s="275" t="s">
        <v>66</v>
      </c>
      <c r="Q538" s="263" t="s">
        <v>60</v>
      </c>
      <c r="R538" s="233"/>
      <c r="S538" s="282"/>
      <c r="T538" s="265"/>
      <c r="U538" s="265"/>
      <c r="V538" s="266"/>
      <c r="W538" s="267"/>
      <c r="X538" s="240"/>
      <c r="Z538" s="240"/>
      <c r="AA538" s="241"/>
    </row>
    <row r="539" spans="1:27" s="268" customFormat="1">
      <c r="A539" s="232">
        <v>531</v>
      </c>
      <c r="B539" s="275" t="s">
        <v>12</v>
      </c>
      <c r="C539" s="275">
        <v>2</v>
      </c>
      <c r="D539" s="276" t="s">
        <v>32</v>
      </c>
      <c r="E539" s="275" t="s">
        <v>26</v>
      </c>
      <c r="F539" s="275">
        <v>55</v>
      </c>
      <c r="G539" s="234" t="s">
        <v>74</v>
      </c>
      <c r="H539" s="277">
        <v>2.6</v>
      </c>
      <c r="I539" s="263">
        <v>165</v>
      </c>
      <c r="J539" s="263">
        <v>152</v>
      </c>
      <c r="K539" s="277">
        <v>2.6</v>
      </c>
      <c r="L539" s="277"/>
      <c r="M539" s="280" t="s">
        <v>115</v>
      </c>
      <c r="N539" s="234" t="s">
        <v>443</v>
      </c>
      <c r="O539" s="281">
        <v>44217</v>
      </c>
      <c r="P539" s="295" t="s">
        <v>64</v>
      </c>
      <c r="Q539" s="263" t="s">
        <v>60</v>
      </c>
      <c r="R539" s="233"/>
      <c r="S539" s="282"/>
      <c r="T539" s="265"/>
      <c r="U539" s="265"/>
      <c r="V539" s="296"/>
      <c r="W539" s="267"/>
      <c r="X539" s="240"/>
      <c r="Z539" s="240"/>
      <c r="AA539" s="241"/>
    </row>
    <row r="540" spans="1:27" s="268" customFormat="1">
      <c r="A540" s="232">
        <v>532</v>
      </c>
      <c r="B540" s="275" t="s">
        <v>12</v>
      </c>
      <c r="C540" s="275">
        <v>2</v>
      </c>
      <c r="D540" s="276" t="s">
        <v>32</v>
      </c>
      <c r="E540" s="275" t="s">
        <v>26</v>
      </c>
      <c r="F540" s="275">
        <v>72</v>
      </c>
      <c r="G540" s="234" t="s">
        <v>85</v>
      </c>
      <c r="H540" s="277">
        <v>0.8</v>
      </c>
      <c r="I540" s="263">
        <v>117</v>
      </c>
      <c r="J540" s="263">
        <v>97</v>
      </c>
      <c r="K540" s="277">
        <v>0.8</v>
      </c>
      <c r="L540" s="277"/>
      <c r="M540" s="280" t="s">
        <v>115</v>
      </c>
      <c r="N540" s="234" t="s">
        <v>443</v>
      </c>
      <c r="O540" s="281">
        <v>44217</v>
      </c>
      <c r="P540" s="295" t="s">
        <v>64</v>
      </c>
      <c r="Q540" s="263" t="s">
        <v>60</v>
      </c>
      <c r="R540" s="233"/>
      <c r="S540" s="282"/>
      <c r="T540" s="265"/>
      <c r="U540" s="265"/>
      <c r="V540" s="296"/>
      <c r="W540" s="267"/>
      <c r="X540" s="240"/>
      <c r="Z540" s="240"/>
      <c r="AA540" s="241"/>
    </row>
    <row r="541" spans="1:27" s="268" customFormat="1">
      <c r="A541" s="232">
        <v>533</v>
      </c>
      <c r="B541" s="275" t="s">
        <v>12</v>
      </c>
      <c r="C541" s="275">
        <v>2</v>
      </c>
      <c r="D541" s="276" t="s">
        <v>32</v>
      </c>
      <c r="E541" s="275" t="s">
        <v>26</v>
      </c>
      <c r="F541" s="275">
        <v>5</v>
      </c>
      <c r="G541" s="234" t="s">
        <v>73</v>
      </c>
      <c r="H541" s="277">
        <v>0.8</v>
      </c>
      <c r="I541" s="263">
        <v>17</v>
      </c>
      <c r="J541" s="263">
        <v>15</v>
      </c>
      <c r="K541" s="277">
        <v>0.8</v>
      </c>
      <c r="L541" s="277"/>
      <c r="M541" s="280" t="s">
        <v>115</v>
      </c>
      <c r="N541" s="234" t="s">
        <v>443</v>
      </c>
      <c r="O541" s="281">
        <v>44217</v>
      </c>
      <c r="P541" s="295" t="s">
        <v>64</v>
      </c>
      <c r="Q541" s="263" t="s">
        <v>42</v>
      </c>
      <c r="R541" s="233"/>
      <c r="S541" s="282"/>
      <c r="T541" s="265"/>
      <c r="U541" s="265"/>
      <c r="V541" s="296"/>
      <c r="W541" s="267"/>
      <c r="X541" s="240"/>
      <c r="Z541" s="240"/>
      <c r="AA541" s="241"/>
    </row>
    <row r="542" spans="1:27" s="268" customFormat="1">
      <c r="A542" s="232">
        <v>534</v>
      </c>
      <c r="B542" s="275" t="s">
        <v>12</v>
      </c>
      <c r="C542" s="275">
        <v>2</v>
      </c>
      <c r="D542" s="276" t="s">
        <v>32</v>
      </c>
      <c r="E542" s="275" t="s">
        <v>26</v>
      </c>
      <c r="F542" s="275">
        <v>38</v>
      </c>
      <c r="G542" s="234" t="s">
        <v>82</v>
      </c>
      <c r="H542" s="277">
        <v>1</v>
      </c>
      <c r="I542" s="263">
        <v>20</v>
      </c>
      <c r="J542" s="263">
        <v>16</v>
      </c>
      <c r="K542" s="277">
        <v>1</v>
      </c>
      <c r="L542" s="277"/>
      <c r="M542" s="280" t="s">
        <v>115</v>
      </c>
      <c r="N542" s="234" t="s">
        <v>443</v>
      </c>
      <c r="O542" s="281">
        <v>44217</v>
      </c>
      <c r="P542" s="295" t="s">
        <v>64</v>
      </c>
      <c r="Q542" s="263" t="s">
        <v>60</v>
      </c>
      <c r="R542" s="233"/>
      <c r="S542" s="282"/>
      <c r="T542" s="265"/>
      <c r="U542" s="265"/>
      <c r="V542" s="296"/>
      <c r="W542" s="267"/>
      <c r="X542" s="240"/>
      <c r="Z542" s="240"/>
      <c r="AA542" s="241"/>
    </row>
    <row r="543" spans="1:27" s="268" customFormat="1">
      <c r="A543" s="232">
        <v>535</v>
      </c>
      <c r="B543" s="275" t="s">
        <v>12</v>
      </c>
      <c r="C543" s="275">
        <v>2</v>
      </c>
      <c r="D543" s="276" t="s">
        <v>32</v>
      </c>
      <c r="E543" s="275" t="s">
        <v>26</v>
      </c>
      <c r="F543" s="275">
        <v>50</v>
      </c>
      <c r="G543" s="234" t="s">
        <v>75</v>
      </c>
      <c r="H543" s="277">
        <v>4.3</v>
      </c>
      <c r="I543" s="263">
        <v>137</v>
      </c>
      <c r="J543" s="263">
        <v>118</v>
      </c>
      <c r="K543" s="277">
        <v>4.3</v>
      </c>
      <c r="L543" s="277"/>
      <c r="M543" s="280" t="s">
        <v>115</v>
      </c>
      <c r="N543" s="234" t="s">
        <v>443</v>
      </c>
      <c r="O543" s="281">
        <v>44217</v>
      </c>
      <c r="P543" s="295" t="s">
        <v>64</v>
      </c>
      <c r="Q543" s="263" t="s">
        <v>60</v>
      </c>
      <c r="R543" s="233"/>
      <c r="S543" s="282"/>
      <c r="T543" s="265"/>
      <c r="U543" s="265"/>
      <c r="V543" s="296"/>
      <c r="W543" s="267"/>
      <c r="X543" s="240"/>
      <c r="Z543" s="240"/>
      <c r="AA543" s="241"/>
    </row>
    <row r="544" spans="1:27" s="268" customFormat="1">
      <c r="A544" s="232">
        <v>536</v>
      </c>
      <c r="B544" s="275" t="s">
        <v>12</v>
      </c>
      <c r="C544" s="275">
        <v>2</v>
      </c>
      <c r="D544" s="276" t="s">
        <v>32</v>
      </c>
      <c r="E544" s="275" t="s">
        <v>26</v>
      </c>
      <c r="F544" s="275">
        <v>48</v>
      </c>
      <c r="G544" s="234" t="s">
        <v>74</v>
      </c>
      <c r="H544" s="277">
        <v>4.2</v>
      </c>
      <c r="I544" s="263">
        <v>217</v>
      </c>
      <c r="J544" s="263">
        <f>181+15</f>
        <v>196</v>
      </c>
      <c r="K544" s="277">
        <v>4.2</v>
      </c>
      <c r="L544" s="277"/>
      <c r="M544" s="280" t="s">
        <v>115</v>
      </c>
      <c r="N544" s="234" t="s">
        <v>443</v>
      </c>
      <c r="O544" s="281">
        <v>44217</v>
      </c>
      <c r="P544" s="295" t="s">
        <v>64</v>
      </c>
      <c r="Q544" s="263" t="s">
        <v>60</v>
      </c>
      <c r="R544" s="233"/>
      <c r="S544" s="282"/>
      <c r="T544" s="265"/>
      <c r="U544" s="265"/>
      <c r="V544" s="296"/>
      <c r="W544" s="267"/>
      <c r="X544" s="240"/>
      <c r="Z544" s="240"/>
      <c r="AA544" s="241"/>
    </row>
    <row r="545" spans="1:27" s="268" customFormat="1">
      <c r="A545" s="232">
        <v>537</v>
      </c>
      <c r="B545" s="275" t="s">
        <v>12</v>
      </c>
      <c r="C545" s="275">
        <v>2</v>
      </c>
      <c r="D545" s="276" t="s">
        <v>247</v>
      </c>
      <c r="E545" s="275" t="s">
        <v>26</v>
      </c>
      <c r="F545" s="275">
        <v>28</v>
      </c>
      <c r="G545" s="234" t="s">
        <v>70</v>
      </c>
      <c r="H545" s="277">
        <v>0.1</v>
      </c>
      <c r="I545" s="263">
        <v>52</v>
      </c>
      <c r="J545" s="263">
        <v>43</v>
      </c>
      <c r="K545" s="277"/>
      <c r="L545" s="277">
        <v>0.1</v>
      </c>
      <c r="M545" s="280" t="s">
        <v>115</v>
      </c>
      <c r="N545" s="234" t="s">
        <v>463</v>
      </c>
      <c r="O545" s="281">
        <v>44260</v>
      </c>
      <c r="P545" s="295" t="s">
        <v>64</v>
      </c>
      <c r="Q545" s="263" t="s">
        <v>42</v>
      </c>
      <c r="R545" s="233"/>
      <c r="S545" s="282"/>
      <c r="T545" s="265"/>
      <c r="U545" s="265"/>
      <c r="V545" s="296"/>
      <c r="W545" s="267"/>
      <c r="X545" s="240"/>
      <c r="Z545" s="240"/>
      <c r="AA545" s="241"/>
    </row>
    <row r="546" spans="1:27" s="268" customFormat="1">
      <c r="A546" s="232">
        <v>538</v>
      </c>
      <c r="B546" s="275" t="s">
        <v>12</v>
      </c>
      <c r="C546" s="275">
        <v>2</v>
      </c>
      <c r="D546" s="276" t="s">
        <v>125</v>
      </c>
      <c r="E546" s="275" t="s">
        <v>197</v>
      </c>
      <c r="F546" s="275">
        <v>29</v>
      </c>
      <c r="G546" s="234" t="s">
        <v>75</v>
      </c>
      <c r="H546" s="277">
        <v>1</v>
      </c>
      <c r="I546" s="263">
        <v>12</v>
      </c>
      <c r="J546" s="263">
        <v>3</v>
      </c>
      <c r="K546" s="277"/>
      <c r="L546" s="277">
        <v>1</v>
      </c>
      <c r="M546" s="280" t="s">
        <v>115</v>
      </c>
      <c r="N546" s="234" t="s">
        <v>444</v>
      </c>
      <c r="O546" s="281">
        <v>44217</v>
      </c>
      <c r="P546" s="295" t="s">
        <v>64</v>
      </c>
      <c r="Q546" s="263" t="s">
        <v>42</v>
      </c>
      <c r="R546" s="233"/>
      <c r="S546" s="282"/>
      <c r="T546" s="265"/>
      <c r="U546" s="265"/>
      <c r="V546" s="296"/>
      <c r="W546" s="267"/>
      <c r="X546" s="240"/>
      <c r="Z546" s="240"/>
      <c r="AA546" s="241"/>
    </row>
    <row r="547" spans="1:27" s="268" customFormat="1">
      <c r="A547" s="232">
        <v>539</v>
      </c>
      <c r="B547" s="295" t="s">
        <v>12</v>
      </c>
      <c r="C547" s="275">
        <v>2</v>
      </c>
      <c r="D547" s="276" t="s">
        <v>125</v>
      </c>
      <c r="E547" s="295" t="s">
        <v>26</v>
      </c>
      <c r="F547" s="295">
        <v>43</v>
      </c>
      <c r="G547" s="297" t="s">
        <v>82</v>
      </c>
      <c r="H547" s="279">
        <v>1.2</v>
      </c>
      <c r="I547" s="263">
        <v>7</v>
      </c>
      <c r="J547" s="263">
        <v>3</v>
      </c>
      <c r="K547" s="263"/>
      <c r="L547" s="279">
        <v>1.2</v>
      </c>
      <c r="M547" s="298" t="s">
        <v>115</v>
      </c>
      <c r="N547" s="234" t="s">
        <v>444</v>
      </c>
      <c r="O547" s="299">
        <v>44217</v>
      </c>
      <c r="P547" s="295" t="s">
        <v>64</v>
      </c>
      <c r="Q547" s="263" t="s">
        <v>42</v>
      </c>
      <c r="R547" s="233"/>
      <c r="S547" s="282"/>
      <c r="T547" s="265"/>
      <c r="U547" s="265"/>
      <c r="V547" s="296"/>
      <c r="W547" s="267"/>
      <c r="X547" s="240"/>
      <c r="Z547" s="240"/>
      <c r="AA547" s="241"/>
    </row>
    <row r="548" spans="1:27" s="268" customFormat="1">
      <c r="A548" s="232">
        <v>540</v>
      </c>
      <c r="B548" s="295" t="s">
        <v>12</v>
      </c>
      <c r="C548" s="275">
        <v>2</v>
      </c>
      <c r="D548" s="276" t="s">
        <v>125</v>
      </c>
      <c r="E548" s="295" t="s">
        <v>26</v>
      </c>
      <c r="F548" s="295">
        <v>35</v>
      </c>
      <c r="G548" s="297" t="s">
        <v>75</v>
      </c>
      <c r="H548" s="279">
        <v>2.8</v>
      </c>
      <c r="I548" s="263">
        <v>22</v>
      </c>
      <c r="J548" s="263">
        <v>17</v>
      </c>
      <c r="K548" s="263"/>
      <c r="L548" s="279">
        <v>2.8</v>
      </c>
      <c r="M548" s="298" t="s">
        <v>115</v>
      </c>
      <c r="N548" s="234" t="s">
        <v>464</v>
      </c>
      <c r="O548" s="299">
        <v>44271</v>
      </c>
      <c r="P548" s="295" t="s">
        <v>64</v>
      </c>
      <c r="Q548" s="263" t="s">
        <v>42</v>
      </c>
      <c r="R548" s="233"/>
      <c r="S548" s="282"/>
      <c r="T548" s="265"/>
      <c r="U548" s="265"/>
      <c r="V548" s="300"/>
      <c r="W548" s="267"/>
      <c r="X548" s="240"/>
      <c r="Z548" s="240"/>
      <c r="AA548" s="241"/>
    </row>
    <row r="549" spans="1:27" s="268" customFormat="1">
      <c r="A549" s="232">
        <v>541</v>
      </c>
      <c r="B549" s="295" t="s">
        <v>12</v>
      </c>
      <c r="C549" s="275">
        <v>2</v>
      </c>
      <c r="D549" s="276" t="s">
        <v>125</v>
      </c>
      <c r="E549" s="295" t="s">
        <v>26</v>
      </c>
      <c r="F549" s="295">
        <v>36</v>
      </c>
      <c r="G549" s="297" t="s">
        <v>77</v>
      </c>
      <c r="H549" s="279">
        <v>2.7</v>
      </c>
      <c r="I549" s="263">
        <v>20</v>
      </c>
      <c r="J549" s="263">
        <v>19</v>
      </c>
      <c r="K549" s="263"/>
      <c r="L549" s="279">
        <v>2.7</v>
      </c>
      <c r="M549" s="298" t="s">
        <v>115</v>
      </c>
      <c r="N549" s="234" t="s">
        <v>464</v>
      </c>
      <c r="O549" s="299">
        <v>44271</v>
      </c>
      <c r="P549" s="295" t="s">
        <v>64</v>
      </c>
      <c r="Q549" s="263" t="s">
        <v>42</v>
      </c>
      <c r="R549" s="233"/>
      <c r="S549" s="282"/>
      <c r="T549" s="265"/>
      <c r="U549" s="265"/>
      <c r="V549" s="300"/>
      <c r="W549" s="267"/>
      <c r="X549" s="240"/>
      <c r="Z549" s="240"/>
      <c r="AA549" s="241"/>
    </row>
    <row r="550" spans="1:27" s="268" customFormat="1">
      <c r="A550" s="232">
        <v>542</v>
      </c>
      <c r="B550" s="295" t="s">
        <v>12</v>
      </c>
      <c r="C550" s="275">
        <v>2</v>
      </c>
      <c r="D550" s="276" t="s">
        <v>125</v>
      </c>
      <c r="E550" s="295" t="s">
        <v>26</v>
      </c>
      <c r="F550" s="295">
        <v>43</v>
      </c>
      <c r="G550" s="297" t="s">
        <v>84</v>
      </c>
      <c r="H550" s="279">
        <v>1.3</v>
      </c>
      <c r="I550" s="263">
        <v>5</v>
      </c>
      <c r="J550" s="263">
        <v>4</v>
      </c>
      <c r="K550" s="263"/>
      <c r="L550" s="279">
        <v>1.3</v>
      </c>
      <c r="M550" s="298" t="s">
        <v>115</v>
      </c>
      <c r="N550" s="234" t="s">
        <v>464</v>
      </c>
      <c r="O550" s="299">
        <v>44271</v>
      </c>
      <c r="P550" s="295" t="s">
        <v>64</v>
      </c>
      <c r="Q550" s="263" t="s">
        <v>60</v>
      </c>
      <c r="R550" s="233"/>
      <c r="S550" s="282"/>
      <c r="T550" s="265"/>
      <c r="U550" s="265"/>
      <c r="V550" s="300"/>
      <c r="W550" s="267"/>
      <c r="X550" s="240"/>
      <c r="Z550" s="240"/>
      <c r="AA550" s="241"/>
    </row>
    <row r="551" spans="1:27" s="268" customFormat="1">
      <c r="A551" s="232">
        <v>543</v>
      </c>
      <c r="B551" s="295" t="s">
        <v>12</v>
      </c>
      <c r="C551" s="275">
        <v>2</v>
      </c>
      <c r="D551" s="276" t="s">
        <v>125</v>
      </c>
      <c r="E551" s="295" t="s">
        <v>26</v>
      </c>
      <c r="F551" s="295">
        <v>43</v>
      </c>
      <c r="G551" s="297" t="s">
        <v>76</v>
      </c>
      <c r="H551" s="279">
        <v>1.4</v>
      </c>
      <c r="I551" s="263">
        <v>4</v>
      </c>
      <c r="J551" s="263">
        <v>4</v>
      </c>
      <c r="K551" s="263"/>
      <c r="L551" s="279">
        <v>1.4</v>
      </c>
      <c r="M551" s="298" t="s">
        <v>115</v>
      </c>
      <c r="N551" s="234" t="s">
        <v>464</v>
      </c>
      <c r="O551" s="299">
        <v>44271</v>
      </c>
      <c r="P551" s="295" t="s">
        <v>64</v>
      </c>
      <c r="Q551" s="263" t="s">
        <v>60</v>
      </c>
      <c r="R551" s="233"/>
      <c r="S551" s="282"/>
      <c r="T551" s="265"/>
      <c r="U551" s="265"/>
      <c r="V551" s="300"/>
      <c r="W551" s="267"/>
      <c r="X551" s="240"/>
      <c r="Z551" s="240"/>
      <c r="AA551" s="241"/>
    </row>
    <row r="552" spans="1:27" s="268" customFormat="1">
      <c r="A552" s="232">
        <v>544</v>
      </c>
      <c r="B552" s="295" t="s">
        <v>12</v>
      </c>
      <c r="C552" s="275">
        <v>2</v>
      </c>
      <c r="D552" s="276" t="s">
        <v>125</v>
      </c>
      <c r="E552" s="295" t="s">
        <v>26</v>
      </c>
      <c r="F552" s="295">
        <v>43</v>
      </c>
      <c r="G552" s="297" t="s">
        <v>74</v>
      </c>
      <c r="H552" s="279">
        <v>1.1000000000000001</v>
      </c>
      <c r="I552" s="263">
        <v>7</v>
      </c>
      <c r="J552" s="263">
        <v>7</v>
      </c>
      <c r="K552" s="263"/>
      <c r="L552" s="279">
        <v>1.1000000000000001</v>
      </c>
      <c r="M552" s="298" t="s">
        <v>115</v>
      </c>
      <c r="N552" s="234" t="s">
        <v>464</v>
      </c>
      <c r="O552" s="299">
        <v>44271</v>
      </c>
      <c r="P552" s="295" t="s">
        <v>64</v>
      </c>
      <c r="Q552" s="263" t="s">
        <v>60</v>
      </c>
      <c r="R552" s="233"/>
      <c r="S552" s="282"/>
      <c r="T552" s="265"/>
      <c r="U552" s="265"/>
      <c r="V552" s="300"/>
      <c r="W552" s="267"/>
      <c r="X552" s="240"/>
      <c r="Z552" s="240"/>
      <c r="AA552" s="241"/>
    </row>
    <row r="553" spans="1:27" s="268" customFormat="1">
      <c r="A553" s="232">
        <v>545</v>
      </c>
      <c r="B553" s="295" t="s">
        <v>12</v>
      </c>
      <c r="C553" s="275">
        <v>2</v>
      </c>
      <c r="D553" s="276" t="s">
        <v>125</v>
      </c>
      <c r="E553" s="295" t="s">
        <v>26</v>
      </c>
      <c r="F553" s="295">
        <v>43</v>
      </c>
      <c r="G553" s="297" t="s">
        <v>79</v>
      </c>
      <c r="H553" s="279">
        <v>1.3</v>
      </c>
      <c r="I553" s="263">
        <v>6</v>
      </c>
      <c r="J553" s="263">
        <v>4</v>
      </c>
      <c r="K553" s="263"/>
      <c r="L553" s="279">
        <v>1.3</v>
      </c>
      <c r="M553" s="298" t="s">
        <v>115</v>
      </c>
      <c r="N553" s="234" t="s">
        <v>464</v>
      </c>
      <c r="O553" s="299">
        <v>44271</v>
      </c>
      <c r="P553" s="295" t="s">
        <v>64</v>
      </c>
      <c r="Q553" s="263" t="s">
        <v>60</v>
      </c>
      <c r="R553" s="233"/>
      <c r="S553" s="282"/>
      <c r="T553" s="265"/>
      <c r="U553" s="265"/>
      <c r="V553" s="300"/>
      <c r="W553" s="267"/>
      <c r="X553" s="240"/>
      <c r="Z553" s="240"/>
      <c r="AA553" s="241"/>
    </row>
    <row r="554" spans="1:27" s="268" customFormat="1">
      <c r="A554" s="232">
        <v>546</v>
      </c>
      <c r="B554" s="295" t="s">
        <v>12</v>
      </c>
      <c r="C554" s="275">
        <v>2</v>
      </c>
      <c r="D554" s="276" t="s">
        <v>125</v>
      </c>
      <c r="E554" s="295" t="s">
        <v>26</v>
      </c>
      <c r="F554" s="295">
        <v>44</v>
      </c>
      <c r="G554" s="297" t="s">
        <v>84</v>
      </c>
      <c r="H554" s="279">
        <v>1.1000000000000001</v>
      </c>
      <c r="I554" s="263">
        <v>2</v>
      </c>
      <c r="J554" s="263">
        <v>2</v>
      </c>
      <c r="K554" s="263"/>
      <c r="L554" s="279">
        <v>1.1000000000000001</v>
      </c>
      <c r="M554" s="298" t="s">
        <v>115</v>
      </c>
      <c r="N554" s="234" t="s">
        <v>464</v>
      </c>
      <c r="O554" s="299">
        <v>44271</v>
      </c>
      <c r="P554" s="295" t="s">
        <v>64</v>
      </c>
      <c r="Q554" s="263" t="s">
        <v>60</v>
      </c>
      <c r="R554" s="233"/>
      <c r="S554" s="282"/>
      <c r="T554" s="265"/>
      <c r="U554" s="265"/>
      <c r="V554" s="300"/>
      <c r="W554" s="267"/>
      <c r="X554" s="240"/>
      <c r="Z554" s="240"/>
      <c r="AA554" s="241"/>
    </row>
    <row r="555" spans="1:27" s="268" customFormat="1">
      <c r="A555" s="232">
        <v>547</v>
      </c>
      <c r="B555" s="295" t="s">
        <v>12</v>
      </c>
      <c r="C555" s="275">
        <v>2</v>
      </c>
      <c r="D555" s="276" t="s">
        <v>125</v>
      </c>
      <c r="E555" s="295" t="s">
        <v>26</v>
      </c>
      <c r="F555" s="295">
        <v>44</v>
      </c>
      <c r="G555" s="297" t="s">
        <v>92</v>
      </c>
      <c r="H555" s="279">
        <v>1.5</v>
      </c>
      <c r="I555" s="263">
        <v>5</v>
      </c>
      <c r="J555" s="263">
        <v>5</v>
      </c>
      <c r="K555" s="263"/>
      <c r="L555" s="279">
        <v>1.5</v>
      </c>
      <c r="M555" s="298" t="s">
        <v>115</v>
      </c>
      <c r="N555" s="234" t="s">
        <v>464</v>
      </c>
      <c r="O555" s="299">
        <v>44271</v>
      </c>
      <c r="P555" s="295" t="s">
        <v>64</v>
      </c>
      <c r="Q555" s="263" t="s">
        <v>60</v>
      </c>
      <c r="R555" s="233"/>
      <c r="S555" s="282"/>
      <c r="T555" s="265"/>
      <c r="U555" s="265"/>
      <c r="V555" s="300"/>
      <c r="W555" s="267"/>
      <c r="X555" s="240"/>
      <c r="Z555" s="240"/>
      <c r="AA555" s="241"/>
    </row>
    <row r="556" spans="1:27" s="268" customFormat="1">
      <c r="A556" s="232">
        <v>548</v>
      </c>
      <c r="B556" s="295" t="s">
        <v>12</v>
      </c>
      <c r="C556" s="275">
        <v>2</v>
      </c>
      <c r="D556" s="276" t="s">
        <v>125</v>
      </c>
      <c r="E556" s="295" t="s">
        <v>26</v>
      </c>
      <c r="F556" s="295">
        <v>59</v>
      </c>
      <c r="G556" s="297" t="s">
        <v>88</v>
      </c>
      <c r="H556" s="279">
        <v>2</v>
      </c>
      <c r="I556" s="263">
        <v>22</v>
      </c>
      <c r="J556" s="263">
        <v>21</v>
      </c>
      <c r="K556" s="263"/>
      <c r="L556" s="279">
        <v>2</v>
      </c>
      <c r="M556" s="298" t="s">
        <v>115</v>
      </c>
      <c r="N556" s="234" t="s">
        <v>464</v>
      </c>
      <c r="O556" s="299">
        <v>44271</v>
      </c>
      <c r="P556" s="295" t="s">
        <v>64</v>
      </c>
      <c r="Q556" s="263" t="s">
        <v>60</v>
      </c>
      <c r="R556" s="233"/>
      <c r="S556" s="282"/>
      <c r="T556" s="265"/>
      <c r="U556" s="265"/>
      <c r="V556" s="300"/>
      <c r="W556" s="267"/>
      <c r="X556" s="240"/>
      <c r="Z556" s="240"/>
      <c r="AA556" s="241"/>
    </row>
    <row r="557" spans="1:27" s="268" customFormat="1">
      <c r="A557" s="232">
        <v>549</v>
      </c>
      <c r="B557" s="295" t="s">
        <v>12</v>
      </c>
      <c r="C557" s="275">
        <v>2</v>
      </c>
      <c r="D557" s="276" t="s">
        <v>125</v>
      </c>
      <c r="E557" s="295" t="s">
        <v>26</v>
      </c>
      <c r="F557" s="295">
        <v>59</v>
      </c>
      <c r="G557" s="297" t="s">
        <v>89</v>
      </c>
      <c r="H557" s="279">
        <v>1.5</v>
      </c>
      <c r="I557" s="263">
        <v>8</v>
      </c>
      <c r="J557" s="263">
        <v>7</v>
      </c>
      <c r="K557" s="263"/>
      <c r="L557" s="279">
        <v>1.5</v>
      </c>
      <c r="M557" s="298" t="s">
        <v>115</v>
      </c>
      <c r="N557" s="234" t="s">
        <v>464</v>
      </c>
      <c r="O557" s="299">
        <v>44271</v>
      </c>
      <c r="P557" s="295" t="s">
        <v>64</v>
      </c>
      <c r="Q557" s="263" t="s">
        <v>60</v>
      </c>
      <c r="R557" s="233"/>
      <c r="S557" s="282"/>
      <c r="T557" s="265"/>
      <c r="U557" s="265"/>
      <c r="V557" s="300"/>
      <c r="W557" s="267"/>
      <c r="X557" s="240"/>
      <c r="Z557" s="240"/>
      <c r="AA557" s="241"/>
    </row>
    <row r="558" spans="1:27" s="268" customFormat="1">
      <c r="A558" s="232">
        <v>550</v>
      </c>
      <c r="B558" s="295" t="s">
        <v>12</v>
      </c>
      <c r="C558" s="275">
        <v>2</v>
      </c>
      <c r="D558" s="276" t="s">
        <v>125</v>
      </c>
      <c r="E558" s="295" t="s">
        <v>26</v>
      </c>
      <c r="F558" s="295">
        <v>59</v>
      </c>
      <c r="G558" s="297" t="s">
        <v>80</v>
      </c>
      <c r="H558" s="279">
        <v>0.2</v>
      </c>
      <c r="I558" s="263">
        <v>3</v>
      </c>
      <c r="J558" s="263">
        <v>3</v>
      </c>
      <c r="K558" s="263"/>
      <c r="L558" s="279">
        <v>0.2</v>
      </c>
      <c r="M558" s="298" t="s">
        <v>115</v>
      </c>
      <c r="N558" s="234" t="s">
        <v>464</v>
      </c>
      <c r="O558" s="299">
        <v>44271</v>
      </c>
      <c r="P558" s="295" t="s">
        <v>64</v>
      </c>
      <c r="Q558" s="263" t="s">
        <v>60</v>
      </c>
      <c r="R558" s="233"/>
      <c r="S558" s="282"/>
      <c r="T558" s="265"/>
      <c r="U558" s="265"/>
      <c r="V558" s="300"/>
      <c r="W558" s="267"/>
      <c r="X558" s="240"/>
      <c r="Z558" s="240"/>
      <c r="AA558" s="241"/>
    </row>
    <row r="559" spans="1:27" s="268" customFormat="1">
      <c r="A559" s="232">
        <v>551</v>
      </c>
      <c r="B559" s="295" t="s">
        <v>12</v>
      </c>
      <c r="C559" s="275">
        <v>2</v>
      </c>
      <c r="D559" s="276" t="s">
        <v>125</v>
      </c>
      <c r="E559" s="295" t="s">
        <v>26</v>
      </c>
      <c r="F559" s="295">
        <v>59</v>
      </c>
      <c r="G559" s="297" t="s">
        <v>82</v>
      </c>
      <c r="H559" s="279">
        <v>0.3</v>
      </c>
      <c r="I559" s="263">
        <v>1</v>
      </c>
      <c r="J559" s="263">
        <v>1</v>
      </c>
      <c r="K559" s="263"/>
      <c r="L559" s="279">
        <v>0.3</v>
      </c>
      <c r="M559" s="298" t="s">
        <v>115</v>
      </c>
      <c r="N559" s="234" t="s">
        <v>464</v>
      </c>
      <c r="O559" s="299">
        <v>44271</v>
      </c>
      <c r="P559" s="295" t="s">
        <v>64</v>
      </c>
      <c r="Q559" s="263" t="s">
        <v>60</v>
      </c>
      <c r="R559" s="233"/>
      <c r="S559" s="282"/>
      <c r="T559" s="265"/>
      <c r="U559" s="265"/>
      <c r="V559" s="300"/>
      <c r="W559" s="267"/>
      <c r="X559" s="240"/>
      <c r="Z559" s="240"/>
      <c r="AA559" s="241"/>
    </row>
    <row r="560" spans="1:27" s="268" customFormat="1">
      <c r="A560" s="232">
        <v>552</v>
      </c>
      <c r="B560" s="295" t="s">
        <v>12</v>
      </c>
      <c r="C560" s="275">
        <v>2</v>
      </c>
      <c r="D560" s="276" t="s">
        <v>125</v>
      </c>
      <c r="E560" s="295" t="s">
        <v>26</v>
      </c>
      <c r="F560" s="295">
        <v>60</v>
      </c>
      <c r="G560" s="297" t="s">
        <v>77</v>
      </c>
      <c r="H560" s="279">
        <v>0.9</v>
      </c>
      <c r="I560" s="263">
        <v>2</v>
      </c>
      <c r="J560" s="263">
        <v>2</v>
      </c>
      <c r="K560" s="263"/>
      <c r="L560" s="279">
        <v>0.9</v>
      </c>
      <c r="M560" s="298" t="s">
        <v>115</v>
      </c>
      <c r="N560" s="234" t="s">
        <v>464</v>
      </c>
      <c r="O560" s="299">
        <v>44271</v>
      </c>
      <c r="P560" s="295" t="s">
        <v>64</v>
      </c>
      <c r="Q560" s="263" t="s">
        <v>60</v>
      </c>
      <c r="R560" s="233"/>
      <c r="S560" s="282"/>
      <c r="T560" s="265"/>
      <c r="U560" s="265"/>
      <c r="V560" s="300"/>
      <c r="W560" s="267"/>
      <c r="X560" s="240"/>
      <c r="Z560" s="240"/>
      <c r="AA560" s="241"/>
    </row>
    <row r="561" spans="1:27" s="268" customFormat="1">
      <c r="A561" s="232">
        <v>553</v>
      </c>
      <c r="B561" s="295" t="s">
        <v>12</v>
      </c>
      <c r="C561" s="275">
        <v>2</v>
      </c>
      <c r="D561" s="276" t="s">
        <v>125</v>
      </c>
      <c r="E561" s="295" t="s">
        <v>26</v>
      </c>
      <c r="F561" s="295">
        <v>60</v>
      </c>
      <c r="G561" s="297" t="s">
        <v>75</v>
      </c>
      <c r="H561" s="279">
        <v>0.9</v>
      </c>
      <c r="I561" s="263">
        <v>10</v>
      </c>
      <c r="J561" s="263">
        <v>9</v>
      </c>
      <c r="K561" s="263"/>
      <c r="L561" s="279">
        <v>0.9</v>
      </c>
      <c r="M561" s="298" t="s">
        <v>115</v>
      </c>
      <c r="N561" s="234" t="s">
        <v>464</v>
      </c>
      <c r="O561" s="299">
        <v>44271</v>
      </c>
      <c r="P561" s="295" t="s">
        <v>64</v>
      </c>
      <c r="Q561" s="263" t="s">
        <v>60</v>
      </c>
      <c r="R561" s="233"/>
      <c r="S561" s="282"/>
      <c r="T561" s="265"/>
      <c r="U561" s="265"/>
      <c r="V561" s="300"/>
      <c r="W561" s="267"/>
      <c r="X561" s="240"/>
      <c r="Z561" s="240"/>
      <c r="AA561" s="241"/>
    </row>
    <row r="562" spans="1:27" s="268" customFormat="1">
      <c r="A562" s="232">
        <v>554</v>
      </c>
      <c r="B562" s="295" t="s">
        <v>12</v>
      </c>
      <c r="C562" s="275">
        <v>2</v>
      </c>
      <c r="D562" s="276" t="s">
        <v>125</v>
      </c>
      <c r="E562" s="295" t="s">
        <v>26</v>
      </c>
      <c r="F562" s="295">
        <v>64</v>
      </c>
      <c r="G562" s="297" t="s">
        <v>74</v>
      </c>
      <c r="H562" s="279">
        <v>1.8</v>
      </c>
      <c r="I562" s="263">
        <v>35</v>
      </c>
      <c r="J562" s="263">
        <v>32</v>
      </c>
      <c r="K562" s="263"/>
      <c r="L562" s="279">
        <v>1.8</v>
      </c>
      <c r="M562" s="298" t="s">
        <v>115</v>
      </c>
      <c r="N562" s="234" t="s">
        <v>464</v>
      </c>
      <c r="O562" s="299">
        <v>44271</v>
      </c>
      <c r="P562" s="295" t="s">
        <v>64</v>
      </c>
      <c r="Q562" s="263" t="s">
        <v>60</v>
      </c>
      <c r="R562" s="233"/>
      <c r="S562" s="282"/>
      <c r="T562" s="265"/>
      <c r="U562" s="265"/>
      <c r="V562" s="300"/>
      <c r="W562" s="267"/>
      <c r="X562" s="240"/>
      <c r="Z562" s="240"/>
      <c r="AA562" s="241"/>
    </row>
    <row r="563" spans="1:27" s="268" customFormat="1">
      <c r="A563" s="232">
        <v>555</v>
      </c>
      <c r="B563" s="295" t="s">
        <v>12</v>
      </c>
      <c r="C563" s="275">
        <v>2</v>
      </c>
      <c r="D563" s="276" t="s">
        <v>125</v>
      </c>
      <c r="E563" s="295" t="s">
        <v>26</v>
      </c>
      <c r="F563" s="295">
        <v>65</v>
      </c>
      <c r="G563" s="297" t="s">
        <v>76</v>
      </c>
      <c r="H563" s="279">
        <v>0.8</v>
      </c>
      <c r="I563" s="263">
        <v>14</v>
      </c>
      <c r="J563" s="263">
        <v>13</v>
      </c>
      <c r="K563" s="263"/>
      <c r="L563" s="279">
        <v>0.8</v>
      </c>
      <c r="M563" s="298" t="s">
        <v>115</v>
      </c>
      <c r="N563" s="234" t="s">
        <v>464</v>
      </c>
      <c r="O563" s="299">
        <v>44271</v>
      </c>
      <c r="P563" s="295" t="s">
        <v>64</v>
      </c>
      <c r="Q563" s="263" t="s">
        <v>60</v>
      </c>
      <c r="R563" s="233"/>
      <c r="S563" s="282"/>
      <c r="T563" s="265"/>
      <c r="U563" s="265"/>
      <c r="V563" s="300"/>
      <c r="W563" s="267"/>
      <c r="X563" s="240"/>
      <c r="Z563" s="240"/>
      <c r="AA563" s="241"/>
    </row>
    <row r="564" spans="1:27" s="268" customFormat="1">
      <c r="A564" s="232">
        <v>556</v>
      </c>
      <c r="B564" s="295" t="s">
        <v>12</v>
      </c>
      <c r="C564" s="275">
        <v>2</v>
      </c>
      <c r="D564" s="276" t="s">
        <v>125</v>
      </c>
      <c r="E564" s="295" t="s">
        <v>26</v>
      </c>
      <c r="F564" s="295">
        <v>65</v>
      </c>
      <c r="G564" s="297" t="s">
        <v>85</v>
      </c>
      <c r="H564" s="279">
        <v>0.8</v>
      </c>
      <c r="I564" s="263">
        <v>6</v>
      </c>
      <c r="J564" s="263">
        <v>6</v>
      </c>
      <c r="K564" s="263"/>
      <c r="L564" s="279">
        <v>0.8</v>
      </c>
      <c r="M564" s="298" t="s">
        <v>115</v>
      </c>
      <c r="N564" s="234" t="s">
        <v>464</v>
      </c>
      <c r="O564" s="299">
        <v>44271</v>
      </c>
      <c r="P564" s="295" t="s">
        <v>64</v>
      </c>
      <c r="Q564" s="263" t="s">
        <v>60</v>
      </c>
      <c r="R564" s="233"/>
      <c r="S564" s="282"/>
      <c r="T564" s="265"/>
      <c r="U564" s="265"/>
      <c r="V564" s="300"/>
      <c r="W564" s="267"/>
      <c r="X564" s="240"/>
      <c r="Z564" s="240"/>
      <c r="AA564" s="241"/>
    </row>
    <row r="565" spans="1:27" s="268" customFormat="1">
      <c r="A565" s="232">
        <v>557</v>
      </c>
      <c r="B565" s="295" t="s">
        <v>12</v>
      </c>
      <c r="C565" s="275">
        <v>2</v>
      </c>
      <c r="D565" s="276" t="s">
        <v>125</v>
      </c>
      <c r="E565" s="295" t="s">
        <v>26</v>
      </c>
      <c r="F565" s="295">
        <v>67</v>
      </c>
      <c r="G565" s="297" t="s">
        <v>71</v>
      </c>
      <c r="H565" s="279">
        <v>2.8</v>
      </c>
      <c r="I565" s="263">
        <v>101</v>
      </c>
      <c r="J565" s="263">
        <v>95</v>
      </c>
      <c r="K565" s="263"/>
      <c r="L565" s="279">
        <v>2.8</v>
      </c>
      <c r="M565" s="298" t="s">
        <v>115</v>
      </c>
      <c r="N565" s="234" t="s">
        <v>464</v>
      </c>
      <c r="O565" s="299">
        <v>44271</v>
      </c>
      <c r="P565" s="295" t="s">
        <v>64</v>
      </c>
      <c r="Q565" s="263" t="s">
        <v>60</v>
      </c>
      <c r="R565" s="233"/>
      <c r="S565" s="282"/>
      <c r="T565" s="265"/>
      <c r="U565" s="265"/>
      <c r="V565" s="300"/>
      <c r="W565" s="267"/>
      <c r="X565" s="240"/>
      <c r="Z565" s="240"/>
      <c r="AA565" s="241"/>
    </row>
    <row r="566" spans="1:27" s="268" customFormat="1">
      <c r="A566" s="232">
        <v>558</v>
      </c>
      <c r="B566" s="295" t="s">
        <v>12</v>
      </c>
      <c r="C566" s="275">
        <v>2</v>
      </c>
      <c r="D566" s="276" t="s">
        <v>125</v>
      </c>
      <c r="E566" s="295" t="s">
        <v>26</v>
      </c>
      <c r="F566" s="295">
        <v>70</v>
      </c>
      <c r="G566" s="297" t="s">
        <v>69</v>
      </c>
      <c r="H566" s="279">
        <v>2.7</v>
      </c>
      <c r="I566" s="263">
        <v>44</v>
      </c>
      <c r="J566" s="263">
        <v>37</v>
      </c>
      <c r="K566" s="263"/>
      <c r="L566" s="279">
        <v>2.7</v>
      </c>
      <c r="M566" s="298" t="s">
        <v>115</v>
      </c>
      <c r="N566" s="234" t="s">
        <v>464</v>
      </c>
      <c r="O566" s="299">
        <v>44271</v>
      </c>
      <c r="P566" s="295" t="s">
        <v>64</v>
      </c>
      <c r="Q566" s="263" t="s">
        <v>60</v>
      </c>
      <c r="R566" s="233"/>
      <c r="S566" s="282"/>
      <c r="T566" s="265"/>
      <c r="U566" s="265"/>
      <c r="V566" s="300"/>
      <c r="W566" s="267"/>
      <c r="X566" s="240"/>
      <c r="Z566" s="240"/>
      <c r="AA566" s="241"/>
    </row>
    <row r="567" spans="1:27" s="268" customFormat="1">
      <c r="A567" s="232">
        <v>559</v>
      </c>
      <c r="B567" s="295" t="s">
        <v>12</v>
      </c>
      <c r="C567" s="275">
        <v>2</v>
      </c>
      <c r="D567" s="276" t="s">
        <v>125</v>
      </c>
      <c r="E567" s="295" t="s">
        <v>197</v>
      </c>
      <c r="F567" s="295">
        <v>72</v>
      </c>
      <c r="G567" s="297" t="s">
        <v>69</v>
      </c>
      <c r="H567" s="279">
        <v>1</v>
      </c>
      <c r="I567" s="263">
        <v>35</v>
      </c>
      <c r="J567" s="263">
        <v>20</v>
      </c>
      <c r="K567" s="263"/>
      <c r="L567" s="279">
        <v>1</v>
      </c>
      <c r="M567" s="298" t="s">
        <v>115</v>
      </c>
      <c r="N567" s="234" t="s">
        <v>464</v>
      </c>
      <c r="O567" s="299">
        <v>44271</v>
      </c>
      <c r="P567" s="295" t="s">
        <v>64</v>
      </c>
      <c r="Q567" s="263" t="s">
        <v>60</v>
      </c>
      <c r="R567" s="233"/>
      <c r="S567" s="282"/>
      <c r="T567" s="265"/>
      <c r="U567" s="265"/>
      <c r="V567" s="300"/>
      <c r="W567" s="267"/>
      <c r="X567" s="240"/>
      <c r="Z567" s="240"/>
      <c r="AA567" s="241"/>
    </row>
    <row r="568" spans="1:27" s="268" customFormat="1">
      <c r="A568" s="232">
        <v>560</v>
      </c>
      <c r="B568" s="295" t="s">
        <v>12</v>
      </c>
      <c r="C568" s="275">
        <v>2</v>
      </c>
      <c r="D568" s="276" t="s">
        <v>125</v>
      </c>
      <c r="E568" s="295" t="s">
        <v>129</v>
      </c>
      <c r="F568" s="295">
        <v>74</v>
      </c>
      <c r="G568" s="297" t="s">
        <v>69</v>
      </c>
      <c r="H568" s="279">
        <v>0.1</v>
      </c>
      <c r="I568" s="263">
        <v>2</v>
      </c>
      <c r="J568" s="263">
        <v>2</v>
      </c>
      <c r="K568" s="263"/>
      <c r="L568" s="279">
        <v>0.1</v>
      </c>
      <c r="M568" s="298" t="s">
        <v>115</v>
      </c>
      <c r="N568" s="234" t="s">
        <v>464</v>
      </c>
      <c r="O568" s="299">
        <v>44271</v>
      </c>
      <c r="P568" s="295" t="s">
        <v>64</v>
      </c>
      <c r="Q568" s="263" t="s">
        <v>60</v>
      </c>
      <c r="R568" s="233"/>
      <c r="S568" s="282"/>
      <c r="T568" s="265"/>
      <c r="U568" s="265"/>
      <c r="V568" s="300"/>
      <c r="W568" s="267"/>
      <c r="X568" s="240"/>
      <c r="Z568" s="240"/>
      <c r="AA568" s="241"/>
    </row>
    <row r="569" spans="1:27" s="268" customFormat="1">
      <c r="A569" s="232">
        <v>561</v>
      </c>
      <c r="B569" s="295" t="s">
        <v>12</v>
      </c>
      <c r="C569" s="275">
        <v>2</v>
      </c>
      <c r="D569" s="276" t="s">
        <v>125</v>
      </c>
      <c r="E569" s="295" t="s">
        <v>26</v>
      </c>
      <c r="F569" s="295">
        <v>76</v>
      </c>
      <c r="G569" s="297" t="s">
        <v>69</v>
      </c>
      <c r="H569" s="279">
        <v>2.2999999999999998</v>
      </c>
      <c r="I569" s="263">
        <v>32</v>
      </c>
      <c r="J569" s="263">
        <v>31</v>
      </c>
      <c r="K569" s="263"/>
      <c r="L569" s="279">
        <v>2.2999999999999998</v>
      </c>
      <c r="M569" s="298" t="s">
        <v>115</v>
      </c>
      <c r="N569" s="234" t="s">
        <v>464</v>
      </c>
      <c r="O569" s="299">
        <v>44271</v>
      </c>
      <c r="P569" s="295" t="s">
        <v>64</v>
      </c>
      <c r="Q569" s="263" t="s">
        <v>60</v>
      </c>
      <c r="R569" s="233"/>
      <c r="S569" s="282"/>
      <c r="T569" s="265"/>
      <c r="U569" s="265"/>
      <c r="V569" s="300"/>
      <c r="W569" s="267"/>
      <c r="X569" s="240"/>
      <c r="Z569" s="240"/>
      <c r="AA569" s="241"/>
    </row>
    <row r="570" spans="1:27" s="268" customFormat="1">
      <c r="A570" s="232">
        <v>562</v>
      </c>
      <c r="B570" s="295" t="s">
        <v>12</v>
      </c>
      <c r="C570" s="275">
        <v>2</v>
      </c>
      <c r="D570" s="276" t="s">
        <v>125</v>
      </c>
      <c r="E570" s="295" t="s">
        <v>26</v>
      </c>
      <c r="F570" s="295">
        <v>78</v>
      </c>
      <c r="G570" s="297" t="s">
        <v>71</v>
      </c>
      <c r="H570" s="279">
        <v>3</v>
      </c>
      <c r="I570" s="263">
        <v>25</v>
      </c>
      <c r="J570" s="263">
        <v>21</v>
      </c>
      <c r="K570" s="263"/>
      <c r="L570" s="279">
        <v>3</v>
      </c>
      <c r="M570" s="298" t="s">
        <v>115</v>
      </c>
      <c r="N570" s="234" t="s">
        <v>465</v>
      </c>
      <c r="O570" s="299">
        <v>44271</v>
      </c>
      <c r="P570" s="295" t="s">
        <v>64</v>
      </c>
      <c r="Q570" s="263" t="s">
        <v>60</v>
      </c>
      <c r="R570" s="233"/>
      <c r="S570" s="282"/>
      <c r="T570" s="265"/>
      <c r="U570" s="265"/>
      <c r="V570" s="300"/>
      <c r="W570" s="267"/>
      <c r="X570" s="240"/>
      <c r="Z570" s="240"/>
      <c r="AA570" s="241"/>
    </row>
    <row r="571" spans="1:27" s="268" customFormat="1">
      <c r="A571" s="232">
        <v>563</v>
      </c>
      <c r="B571" s="295" t="s">
        <v>12</v>
      </c>
      <c r="C571" s="275">
        <v>2</v>
      </c>
      <c r="D571" s="276" t="s">
        <v>125</v>
      </c>
      <c r="E571" s="295" t="s">
        <v>26</v>
      </c>
      <c r="F571" s="295">
        <v>78</v>
      </c>
      <c r="G571" s="297" t="s">
        <v>79</v>
      </c>
      <c r="H571" s="279">
        <v>0.9</v>
      </c>
      <c r="I571" s="263">
        <v>8</v>
      </c>
      <c r="J571" s="263">
        <v>8</v>
      </c>
      <c r="K571" s="263"/>
      <c r="L571" s="279">
        <v>0.9</v>
      </c>
      <c r="M571" s="298" t="s">
        <v>115</v>
      </c>
      <c r="N571" s="234" t="s">
        <v>465</v>
      </c>
      <c r="O571" s="299">
        <v>44271</v>
      </c>
      <c r="P571" s="295" t="s">
        <v>64</v>
      </c>
      <c r="Q571" s="263" t="s">
        <v>60</v>
      </c>
      <c r="R571" s="233"/>
      <c r="S571" s="282"/>
      <c r="T571" s="265"/>
      <c r="U571" s="265"/>
      <c r="V571" s="300"/>
      <c r="W571" s="267"/>
      <c r="X571" s="240"/>
      <c r="Z571" s="240"/>
      <c r="AA571" s="241"/>
    </row>
    <row r="572" spans="1:27" s="268" customFormat="1">
      <c r="A572" s="232">
        <v>564</v>
      </c>
      <c r="B572" s="295" t="s">
        <v>12</v>
      </c>
      <c r="C572" s="275">
        <v>2</v>
      </c>
      <c r="D572" s="276" t="s">
        <v>125</v>
      </c>
      <c r="E572" s="295" t="s">
        <v>26</v>
      </c>
      <c r="F572" s="295">
        <v>78</v>
      </c>
      <c r="G572" s="297" t="s">
        <v>85</v>
      </c>
      <c r="H572" s="279">
        <v>1.5</v>
      </c>
      <c r="I572" s="263">
        <v>17</v>
      </c>
      <c r="J572" s="263">
        <v>15</v>
      </c>
      <c r="K572" s="263"/>
      <c r="L572" s="279">
        <v>1.5</v>
      </c>
      <c r="M572" s="298" t="s">
        <v>115</v>
      </c>
      <c r="N572" s="234" t="s">
        <v>465</v>
      </c>
      <c r="O572" s="299">
        <v>44271</v>
      </c>
      <c r="P572" s="295" t="s">
        <v>64</v>
      </c>
      <c r="Q572" s="263" t="s">
        <v>60</v>
      </c>
      <c r="R572" s="233"/>
      <c r="S572" s="282"/>
      <c r="T572" s="265"/>
      <c r="U572" s="265"/>
      <c r="V572" s="300"/>
      <c r="W572" s="267"/>
      <c r="X572" s="240"/>
      <c r="Z572" s="240"/>
      <c r="AA572" s="241"/>
    </row>
    <row r="573" spans="1:27" s="268" customFormat="1">
      <c r="A573" s="232">
        <v>565</v>
      </c>
      <c r="B573" s="295" t="s">
        <v>12</v>
      </c>
      <c r="C573" s="275">
        <v>2</v>
      </c>
      <c r="D573" s="276" t="s">
        <v>125</v>
      </c>
      <c r="E573" s="295" t="s">
        <v>26</v>
      </c>
      <c r="F573" s="295">
        <v>78</v>
      </c>
      <c r="G573" s="297" t="s">
        <v>75</v>
      </c>
      <c r="H573" s="279">
        <v>0.3</v>
      </c>
      <c r="I573" s="263">
        <v>2</v>
      </c>
      <c r="J573" s="263">
        <v>2</v>
      </c>
      <c r="K573" s="263"/>
      <c r="L573" s="279">
        <v>0.3</v>
      </c>
      <c r="M573" s="298" t="s">
        <v>115</v>
      </c>
      <c r="N573" s="234" t="s">
        <v>465</v>
      </c>
      <c r="O573" s="299">
        <v>44271</v>
      </c>
      <c r="P573" s="295" t="s">
        <v>64</v>
      </c>
      <c r="Q573" s="263" t="s">
        <v>60</v>
      </c>
      <c r="R573" s="233"/>
      <c r="S573" s="282"/>
      <c r="T573" s="265"/>
      <c r="U573" s="265"/>
      <c r="V573" s="300"/>
      <c r="W573" s="267"/>
      <c r="X573" s="240"/>
      <c r="Z573" s="240"/>
      <c r="AA573" s="241"/>
    </row>
    <row r="574" spans="1:27" s="268" customFormat="1">
      <c r="A574" s="232">
        <v>566</v>
      </c>
      <c r="B574" s="295" t="s">
        <v>12</v>
      </c>
      <c r="C574" s="275">
        <v>2</v>
      </c>
      <c r="D574" s="276" t="s">
        <v>125</v>
      </c>
      <c r="E574" s="295" t="s">
        <v>26</v>
      </c>
      <c r="F574" s="295">
        <v>81</v>
      </c>
      <c r="G574" s="297" t="s">
        <v>71</v>
      </c>
      <c r="H574" s="279">
        <v>3.3</v>
      </c>
      <c r="I574" s="263">
        <v>13</v>
      </c>
      <c r="J574" s="263">
        <v>7</v>
      </c>
      <c r="K574" s="263"/>
      <c r="L574" s="279">
        <v>3.3</v>
      </c>
      <c r="M574" s="298" t="s">
        <v>115</v>
      </c>
      <c r="N574" s="234" t="s">
        <v>465</v>
      </c>
      <c r="O574" s="299">
        <v>44271</v>
      </c>
      <c r="P574" s="295" t="s">
        <v>64</v>
      </c>
      <c r="Q574" s="263" t="s">
        <v>60</v>
      </c>
      <c r="R574" s="233"/>
      <c r="S574" s="282"/>
      <c r="T574" s="265"/>
      <c r="U574" s="265"/>
      <c r="V574" s="300"/>
      <c r="W574" s="267"/>
      <c r="X574" s="240"/>
      <c r="Z574" s="240"/>
      <c r="AA574" s="241"/>
    </row>
    <row r="575" spans="1:27" s="268" customFormat="1">
      <c r="A575" s="232">
        <v>567</v>
      </c>
      <c r="B575" s="295" t="s">
        <v>12</v>
      </c>
      <c r="C575" s="275">
        <v>2</v>
      </c>
      <c r="D575" s="276" t="s">
        <v>125</v>
      </c>
      <c r="E575" s="295" t="s">
        <v>26</v>
      </c>
      <c r="F575" s="295">
        <v>81</v>
      </c>
      <c r="G575" s="297" t="s">
        <v>67</v>
      </c>
      <c r="H575" s="279">
        <v>1.5</v>
      </c>
      <c r="I575" s="263">
        <v>9</v>
      </c>
      <c r="J575" s="263">
        <v>8</v>
      </c>
      <c r="K575" s="263"/>
      <c r="L575" s="279">
        <v>1.5</v>
      </c>
      <c r="M575" s="298" t="s">
        <v>115</v>
      </c>
      <c r="N575" s="234" t="s">
        <v>465</v>
      </c>
      <c r="O575" s="299">
        <v>44271</v>
      </c>
      <c r="P575" s="295" t="s">
        <v>64</v>
      </c>
      <c r="Q575" s="263" t="s">
        <v>60</v>
      </c>
      <c r="R575" s="233"/>
      <c r="S575" s="282"/>
      <c r="T575" s="265"/>
      <c r="U575" s="265"/>
      <c r="V575" s="300"/>
      <c r="W575" s="267"/>
      <c r="X575" s="240"/>
      <c r="Z575" s="240"/>
      <c r="AA575" s="241"/>
    </row>
    <row r="576" spans="1:27" s="268" customFormat="1">
      <c r="A576" s="232">
        <v>568</v>
      </c>
      <c r="B576" s="295" t="s">
        <v>12</v>
      </c>
      <c r="C576" s="275">
        <v>2</v>
      </c>
      <c r="D576" s="276" t="s">
        <v>125</v>
      </c>
      <c r="E576" s="295" t="s">
        <v>26</v>
      </c>
      <c r="F576" s="295">
        <v>81</v>
      </c>
      <c r="G576" s="297" t="s">
        <v>72</v>
      </c>
      <c r="H576" s="279">
        <v>3.5</v>
      </c>
      <c r="I576" s="263">
        <v>24</v>
      </c>
      <c r="J576" s="263">
        <v>14</v>
      </c>
      <c r="K576" s="263"/>
      <c r="L576" s="279">
        <v>3.5</v>
      </c>
      <c r="M576" s="298" t="s">
        <v>115</v>
      </c>
      <c r="N576" s="234" t="s">
        <v>465</v>
      </c>
      <c r="O576" s="299">
        <v>44271</v>
      </c>
      <c r="P576" s="295" t="s">
        <v>64</v>
      </c>
      <c r="Q576" s="263" t="s">
        <v>60</v>
      </c>
      <c r="R576" s="233"/>
      <c r="S576" s="282"/>
      <c r="T576" s="265"/>
      <c r="U576" s="265"/>
      <c r="V576" s="300"/>
      <c r="W576" s="267"/>
      <c r="X576" s="240"/>
      <c r="Z576" s="240"/>
      <c r="AA576" s="241"/>
    </row>
    <row r="577" spans="1:27" s="268" customFormat="1">
      <c r="A577" s="232">
        <v>569</v>
      </c>
      <c r="B577" s="295" t="s">
        <v>12</v>
      </c>
      <c r="C577" s="275">
        <v>2</v>
      </c>
      <c r="D577" s="276" t="s">
        <v>125</v>
      </c>
      <c r="E577" s="295" t="s">
        <v>26</v>
      </c>
      <c r="F577" s="295">
        <v>82</v>
      </c>
      <c r="G577" s="297" t="s">
        <v>71</v>
      </c>
      <c r="H577" s="279">
        <v>1</v>
      </c>
      <c r="I577" s="263">
        <v>11</v>
      </c>
      <c r="J577" s="263">
        <v>3</v>
      </c>
      <c r="K577" s="263"/>
      <c r="L577" s="279">
        <v>1</v>
      </c>
      <c r="M577" s="298" t="s">
        <v>115</v>
      </c>
      <c r="N577" s="234" t="s">
        <v>465</v>
      </c>
      <c r="O577" s="299">
        <v>44271</v>
      </c>
      <c r="P577" s="295" t="s">
        <v>64</v>
      </c>
      <c r="Q577" s="263" t="s">
        <v>60</v>
      </c>
      <c r="R577" s="233"/>
      <c r="S577" s="282"/>
      <c r="T577" s="265"/>
      <c r="U577" s="265"/>
      <c r="V577" s="300"/>
      <c r="W577" s="267"/>
      <c r="X577" s="240"/>
      <c r="Z577" s="240"/>
      <c r="AA577" s="241"/>
    </row>
    <row r="578" spans="1:27" s="268" customFormat="1">
      <c r="A578" s="232">
        <v>570</v>
      </c>
      <c r="B578" s="295" t="s">
        <v>12</v>
      </c>
      <c r="C578" s="275">
        <v>2</v>
      </c>
      <c r="D578" s="276" t="s">
        <v>125</v>
      </c>
      <c r="E578" s="295" t="s">
        <v>26</v>
      </c>
      <c r="F578" s="295">
        <v>82</v>
      </c>
      <c r="G578" s="297" t="s">
        <v>69</v>
      </c>
      <c r="H578" s="279">
        <v>3.3</v>
      </c>
      <c r="I578" s="263">
        <v>16</v>
      </c>
      <c r="J578" s="263">
        <v>10</v>
      </c>
      <c r="K578" s="263"/>
      <c r="L578" s="279">
        <v>3.3</v>
      </c>
      <c r="M578" s="298" t="s">
        <v>115</v>
      </c>
      <c r="N578" s="234" t="s">
        <v>465</v>
      </c>
      <c r="O578" s="299">
        <v>44271</v>
      </c>
      <c r="P578" s="295" t="s">
        <v>64</v>
      </c>
      <c r="Q578" s="263" t="s">
        <v>60</v>
      </c>
      <c r="R578" s="233"/>
      <c r="S578" s="282"/>
      <c r="T578" s="265"/>
      <c r="U578" s="265"/>
      <c r="V578" s="300"/>
      <c r="W578" s="267"/>
      <c r="X578" s="240"/>
      <c r="Z578" s="240"/>
      <c r="AA578" s="241"/>
    </row>
    <row r="579" spans="1:27" s="268" customFormat="1">
      <c r="A579" s="232">
        <v>571</v>
      </c>
      <c r="B579" s="295" t="s">
        <v>12</v>
      </c>
      <c r="C579" s="275">
        <v>2</v>
      </c>
      <c r="D579" s="276" t="s">
        <v>125</v>
      </c>
      <c r="E579" s="295" t="s">
        <v>26</v>
      </c>
      <c r="F579" s="295">
        <v>82</v>
      </c>
      <c r="G579" s="297" t="s">
        <v>67</v>
      </c>
      <c r="H579" s="279">
        <v>0.4</v>
      </c>
      <c r="I579" s="263">
        <v>5</v>
      </c>
      <c r="J579" s="263">
        <v>1</v>
      </c>
      <c r="K579" s="263"/>
      <c r="L579" s="279">
        <v>0.4</v>
      </c>
      <c r="M579" s="298" t="s">
        <v>115</v>
      </c>
      <c r="N579" s="234" t="s">
        <v>465</v>
      </c>
      <c r="O579" s="299">
        <v>44271</v>
      </c>
      <c r="P579" s="295" t="s">
        <v>64</v>
      </c>
      <c r="Q579" s="263" t="s">
        <v>60</v>
      </c>
      <c r="R579" s="233"/>
      <c r="S579" s="282"/>
      <c r="T579" s="265"/>
      <c r="U579" s="265"/>
      <c r="V579" s="300"/>
      <c r="W579" s="267"/>
      <c r="X579" s="240"/>
      <c r="Z579" s="240"/>
      <c r="AA579" s="241"/>
    </row>
    <row r="580" spans="1:27" s="268" customFormat="1">
      <c r="A580" s="232">
        <v>572</v>
      </c>
      <c r="B580" s="295" t="s">
        <v>12</v>
      </c>
      <c r="C580" s="275">
        <v>2</v>
      </c>
      <c r="D580" s="276" t="s">
        <v>125</v>
      </c>
      <c r="E580" s="295" t="s">
        <v>26</v>
      </c>
      <c r="F580" s="295">
        <v>82</v>
      </c>
      <c r="G580" s="297" t="s">
        <v>74</v>
      </c>
      <c r="H580" s="279">
        <v>2.5</v>
      </c>
      <c r="I580" s="263">
        <v>16</v>
      </c>
      <c r="J580" s="263">
        <v>15</v>
      </c>
      <c r="K580" s="263"/>
      <c r="L580" s="279">
        <v>2.5</v>
      </c>
      <c r="M580" s="298" t="s">
        <v>115</v>
      </c>
      <c r="N580" s="234" t="s">
        <v>465</v>
      </c>
      <c r="O580" s="299">
        <v>44271</v>
      </c>
      <c r="P580" s="295" t="s">
        <v>64</v>
      </c>
      <c r="Q580" s="263" t="s">
        <v>60</v>
      </c>
      <c r="R580" s="233"/>
      <c r="S580" s="282"/>
      <c r="T580" s="265"/>
      <c r="U580" s="265"/>
      <c r="V580" s="300"/>
      <c r="W580" s="267"/>
      <c r="X580" s="240"/>
      <c r="Z580" s="240"/>
      <c r="AA580" s="241"/>
    </row>
    <row r="581" spans="1:27" s="268" customFormat="1">
      <c r="A581" s="232">
        <v>573</v>
      </c>
      <c r="B581" s="295" t="s">
        <v>12</v>
      </c>
      <c r="C581" s="275">
        <v>2</v>
      </c>
      <c r="D581" s="276" t="s">
        <v>125</v>
      </c>
      <c r="E581" s="295" t="s">
        <v>26</v>
      </c>
      <c r="F581" s="295">
        <v>82</v>
      </c>
      <c r="G581" s="297" t="s">
        <v>85</v>
      </c>
      <c r="H581" s="279">
        <v>1</v>
      </c>
      <c r="I581" s="263">
        <v>5</v>
      </c>
      <c r="J581" s="263">
        <v>5</v>
      </c>
      <c r="K581" s="263"/>
      <c r="L581" s="279">
        <v>1</v>
      </c>
      <c r="M581" s="298" t="s">
        <v>115</v>
      </c>
      <c r="N581" s="234" t="s">
        <v>465</v>
      </c>
      <c r="O581" s="299">
        <v>44271</v>
      </c>
      <c r="P581" s="295" t="s">
        <v>64</v>
      </c>
      <c r="Q581" s="263" t="s">
        <v>60</v>
      </c>
      <c r="R581" s="233"/>
      <c r="S581" s="282"/>
      <c r="T581" s="265"/>
      <c r="U581" s="265"/>
      <c r="V581" s="300"/>
      <c r="W581" s="267"/>
      <c r="X581" s="240"/>
      <c r="Z581" s="240"/>
      <c r="AA581" s="241"/>
    </row>
    <row r="582" spans="1:27" s="268" customFormat="1">
      <c r="A582" s="232">
        <v>574</v>
      </c>
      <c r="B582" s="295" t="s">
        <v>12</v>
      </c>
      <c r="C582" s="295">
        <v>2</v>
      </c>
      <c r="D582" s="276" t="s">
        <v>125</v>
      </c>
      <c r="E582" s="295" t="s">
        <v>26</v>
      </c>
      <c r="F582" s="295">
        <v>83</v>
      </c>
      <c r="G582" s="297" t="s">
        <v>71</v>
      </c>
      <c r="H582" s="279">
        <v>3</v>
      </c>
      <c r="I582" s="263">
        <v>29</v>
      </c>
      <c r="J582" s="263">
        <v>25</v>
      </c>
      <c r="K582" s="263"/>
      <c r="L582" s="279">
        <v>3</v>
      </c>
      <c r="M582" s="298" t="s">
        <v>115</v>
      </c>
      <c r="N582" s="234" t="s">
        <v>465</v>
      </c>
      <c r="O582" s="299">
        <v>44271</v>
      </c>
      <c r="P582" s="295" t="s">
        <v>64</v>
      </c>
      <c r="Q582" s="263" t="s">
        <v>60</v>
      </c>
      <c r="R582" s="233"/>
      <c r="S582" s="282"/>
      <c r="T582" s="265"/>
      <c r="U582" s="265"/>
      <c r="V582" s="300"/>
      <c r="W582" s="267"/>
      <c r="X582" s="240"/>
      <c r="Z582" s="240"/>
      <c r="AA582" s="241"/>
    </row>
    <row r="583" spans="1:27" s="268" customFormat="1">
      <c r="A583" s="232">
        <v>575</v>
      </c>
      <c r="B583" s="295" t="s">
        <v>12</v>
      </c>
      <c r="C583" s="275"/>
      <c r="D583" s="276" t="s">
        <v>125</v>
      </c>
      <c r="E583" s="295" t="s">
        <v>197</v>
      </c>
      <c r="F583" s="295">
        <v>21</v>
      </c>
      <c r="G583" s="297" t="s">
        <v>85</v>
      </c>
      <c r="H583" s="279">
        <v>1.6</v>
      </c>
      <c r="I583" s="263">
        <v>24</v>
      </c>
      <c r="J583" s="263">
        <v>15</v>
      </c>
      <c r="K583" s="263"/>
      <c r="L583" s="279">
        <v>1.6</v>
      </c>
      <c r="M583" s="298" t="s">
        <v>115</v>
      </c>
      <c r="N583" s="234" t="s">
        <v>481</v>
      </c>
      <c r="O583" s="299">
        <v>44328</v>
      </c>
      <c r="P583" s="295" t="s">
        <v>64</v>
      </c>
      <c r="Q583" s="263" t="s">
        <v>42</v>
      </c>
      <c r="R583" s="233"/>
      <c r="S583" s="282"/>
      <c r="T583" s="265"/>
      <c r="U583" s="265"/>
      <c r="V583" s="300"/>
      <c r="W583" s="267"/>
      <c r="X583" s="240"/>
      <c r="Z583" s="240"/>
      <c r="AA583" s="241"/>
    </row>
    <row r="584" spans="1:27" s="268" customFormat="1">
      <c r="A584" s="232">
        <v>576</v>
      </c>
      <c r="B584" s="295" t="s">
        <v>12</v>
      </c>
      <c r="C584" s="275"/>
      <c r="D584" s="276" t="s">
        <v>125</v>
      </c>
      <c r="E584" s="295" t="s">
        <v>26</v>
      </c>
      <c r="F584" s="295">
        <v>64</v>
      </c>
      <c r="G584" s="297" t="s">
        <v>69</v>
      </c>
      <c r="H584" s="279">
        <v>0.3</v>
      </c>
      <c r="I584" s="263">
        <v>15</v>
      </c>
      <c r="J584" s="263">
        <v>14</v>
      </c>
      <c r="K584" s="263"/>
      <c r="L584" s="279">
        <v>0.3</v>
      </c>
      <c r="M584" s="298" t="s">
        <v>115</v>
      </c>
      <c r="N584" s="234" t="s">
        <v>481</v>
      </c>
      <c r="O584" s="299">
        <v>44328</v>
      </c>
      <c r="P584" s="295" t="s">
        <v>64</v>
      </c>
      <c r="Q584" s="263" t="s">
        <v>60</v>
      </c>
      <c r="R584" s="233"/>
      <c r="S584" s="282"/>
      <c r="T584" s="265"/>
      <c r="U584" s="265"/>
      <c r="V584" s="300"/>
      <c r="W584" s="267"/>
      <c r="X584" s="240"/>
      <c r="Z584" s="240"/>
      <c r="AA584" s="241"/>
    </row>
    <row r="585" spans="1:27" s="268" customFormat="1">
      <c r="A585" s="232">
        <v>577</v>
      </c>
      <c r="B585" s="295" t="s">
        <v>12</v>
      </c>
      <c r="C585" s="275"/>
      <c r="D585" s="276" t="s">
        <v>125</v>
      </c>
      <c r="E585" s="295" t="s">
        <v>26</v>
      </c>
      <c r="F585" s="295">
        <v>64</v>
      </c>
      <c r="G585" s="297" t="s">
        <v>75</v>
      </c>
      <c r="H585" s="279">
        <v>0.4</v>
      </c>
      <c r="I585" s="263">
        <v>49</v>
      </c>
      <c r="J585" s="263">
        <v>47</v>
      </c>
      <c r="K585" s="263"/>
      <c r="L585" s="279">
        <v>0.4</v>
      </c>
      <c r="M585" s="298" t="s">
        <v>115</v>
      </c>
      <c r="N585" s="234" t="s">
        <v>481</v>
      </c>
      <c r="O585" s="299">
        <v>44328</v>
      </c>
      <c r="P585" s="295" t="s">
        <v>64</v>
      </c>
      <c r="Q585" s="263" t="s">
        <v>60</v>
      </c>
      <c r="R585" s="233"/>
      <c r="S585" s="282"/>
      <c r="T585" s="265"/>
      <c r="U585" s="265"/>
      <c r="V585" s="300"/>
      <c r="W585" s="267"/>
      <c r="X585" s="240"/>
      <c r="Z585" s="240"/>
      <c r="AA585" s="241"/>
    </row>
    <row r="586" spans="1:27" s="268" customFormat="1">
      <c r="A586" s="232">
        <v>578</v>
      </c>
      <c r="B586" s="295" t="s">
        <v>12</v>
      </c>
      <c r="C586" s="295"/>
      <c r="D586" s="276" t="s">
        <v>125</v>
      </c>
      <c r="E586" s="295" t="s">
        <v>26</v>
      </c>
      <c r="F586" s="295">
        <v>64</v>
      </c>
      <c r="G586" s="297" t="s">
        <v>88</v>
      </c>
      <c r="H586" s="279">
        <v>2.2000000000000002</v>
      </c>
      <c r="I586" s="263">
        <v>56</v>
      </c>
      <c r="J586" s="263">
        <v>44</v>
      </c>
      <c r="K586" s="263"/>
      <c r="L586" s="279">
        <v>2.2000000000000002</v>
      </c>
      <c r="M586" s="298" t="s">
        <v>115</v>
      </c>
      <c r="N586" s="234" t="s">
        <v>481</v>
      </c>
      <c r="O586" s="299">
        <v>44328</v>
      </c>
      <c r="P586" s="295" t="s">
        <v>64</v>
      </c>
      <c r="Q586" s="263" t="s">
        <v>60</v>
      </c>
      <c r="R586" s="233"/>
      <c r="S586" s="282"/>
      <c r="T586" s="265"/>
      <c r="U586" s="265"/>
      <c r="V586" s="300"/>
      <c r="W586" s="267"/>
      <c r="X586" s="240"/>
      <c r="Z586" s="240"/>
      <c r="AA586" s="241"/>
    </row>
    <row r="587" spans="1:27" s="309" customFormat="1">
      <c r="A587" s="301"/>
      <c r="B587" s="76"/>
      <c r="C587" s="76"/>
      <c r="D587" s="183" t="s">
        <v>122</v>
      </c>
      <c r="E587" s="302"/>
      <c r="F587" s="302"/>
      <c r="G587" s="302"/>
      <c r="H587" s="302"/>
      <c r="I587" s="302"/>
      <c r="J587" s="302"/>
      <c r="K587" s="302"/>
      <c r="L587" s="301"/>
      <c r="M587" s="301"/>
      <c r="N587" s="303"/>
      <c r="O587" s="304"/>
      <c r="P587" s="305"/>
      <c r="Q587" s="306"/>
      <c r="R587" s="86"/>
      <c r="S587" s="307"/>
      <c r="T587" s="306"/>
      <c r="U587" s="306"/>
      <c r="V587" s="300"/>
      <c r="W587" s="308"/>
      <c r="Y587" s="310"/>
      <c r="AA587" s="311"/>
    </row>
    <row r="588" spans="1:27" s="309" customFormat="1" ht="18.75" customHeight="1">
      <c r="A588" s="301"/>
      <c r="B588" s="76"/>
      <c r="C588" s="76"/>
      <c r="D588" s="183" t="s">
        <v>124</v>
      </c>
      <c r="E588" s="236"/>
      <c r="F588" s="302"/>
      <c r="G588" s="302"/>
      <c r="H588" s="302"/>
      <c r="I588" s="302"/>
      <c r="J588" s="417" t="s">
        <v>123</v>
      </c>
      <c r="K588" s="417"/>
      <c r="L588" s="301"/>
      <c r="M588" s="301">
        <f>82542/94580*100</f>
        <v>87.272150560372168</v>
      </c>
      <c r="N588" s="303"/>
      <c r="O588" s="304"/>
      <c r="P588" s="305"/>
      <c r="Q588" s="312"/>
      <c r="R588" s="76"/>
      <c r="S588" s="307"/>
      <c r="T588" s="306"/>
      <c r="U588" s="306"/>
      <c r="V588" s="300"/>
      <c r="W588" s="308"/>
      <c r="Y588" s="310"/>
      <c r="AA588" s="311"/>
    </row>
    <row r="589" spans="1:27" s="309" customFormat="1">
      <c r="A589" s="301"/>
      <c r="B589" s="76"/>
      <c r="C589" s="76"/>
      <c r="D589" s="313"/>
      <c r="E589" s="301"/>
      <c r="F589" s="301"/>
      <c r="G589" s="301"/>
      <c r="H589" s="301"/>
      <c r="I589" s="301"/>
      <c r="J589" s="301"/>
      <c r="K589" s="301"/>
      <c r="L589" s="301"/>
      <c r="M589" s="301"/>
      <c r="N589" s="303"/>
      <c r="O589" s="304"/>
      <c r="P589" s="305"/>
      <c r="Q589" s="314"/>
      <c r="R589" s="315"/>
      <c r="S589" s="307"/>
      <c r="T589" s="306"/>
      <c r="U589" s="306"/>
      <c r="V589" s="300"/>
      <c r="W589" s="308"/>
      <c r="Y589" s="310"/>
      <c r="AA589" s="311"/>
    </row>
    <row r="590" spans="1:27" s="309" customFormat="1">
      <c r="A590" s="301"/>
      <c r="B590" s="76"/>
      <c r="C590" s="76"/>
      <c r="D590" s="313"/>
      <c r="E590" s="301"/>
      <c r="F590" s="301"/>
      <c r="G590" s="301"/>
      <c r="H590" s="301"/>
      <c r="I590" s="301"/>
      <c r="J590" s="301"/>
      <c r="K590" s="301"/>
      <c r="L590" s="301"/>
      <c r="M590" s="301"/>
      <c r="N590" s="303"/>
      <c r="O590" s="304"/>
      <c r="P590" s="305"/>
      <c r="Q590" s="314"/>
      <c r="R590" s="315"/>
      <c r="S590" s="307"/>
      <c r="T590" s="306"/>
      <c r="U590" s="306"/>
      <c r="V590" s="300"/>
      <c r="W590" s="308"/>
      <c r="Y590" s="310"/>
      <c r="AA590" s="311"/>
    </row>
    <row r="591" spans="1:27" s="309" customFormat="1">
      <c r="A591" s="301"/>
      <c r="B591" s="76"/>
      <c r="C591" s="76"/>
      <c r="D591" s="313"/>
      <c r="E591" s="301"/>
      <c r="F591" s="301"/>
      <c r="G591" s="301"/>
      <c r="H591" s="316"/>
      <c r="I591" s="301"/>
      <c r="J591" s="301"/>
      <c r="K591" s="301"/>
      <c r="L591" s="301"/>
      <c r="M591" s="301"/>
      <c r="N591" s="303"/>
      <c r="O591" s="304"/>
      <c r="P591" s="305"/>
      <c r="Q591" s="314"/>
      <c r="R591" s="315"/>
      <c r="S591" s="307"/>
      <c r="T591" s="306"/>
      <c r="U591" s="306"/>
      <c r="V591" s="300"/>
      <c r="W591" s="308"/>
      <c r="Y591" s="310"/>
      <c r="AA591" s="311"/>
    </row>
    <row r="592" spans="1:27" s="309" customFormat="1">
      <c r="A592" s="301"/>
      <c r="B592" s="76"/>
      <c r="C592" s="76"/>
      <c r="D592" s="313"/>
      <c r="E592" s="301"/>
      <c r="F592" s="301"/>
      <c r="G592" s="301"/>
      <c r="H592" s="301"/>
      <c r="I592" s="301"/>
      <c r="J592" s="301"/>
      <c r="K592" s="301"/>
      <c r="L592" s="301"/>
      <c r="M592" s="301"/>
      <c r="N592" s="303"/>
      <c r="O592" s="304"/>
      <c r="P592" s="305"/>
      <c r="Q592" s="314"/>
      <c r="R592" s="315"/>
      <c r="S592" s="307"/>
      <c r="T592" s="306"/>
      <c r="U592" s="306"/>
      <c r="V592" s="300"/>
      <c r="W592" s="308"/>
      <c r="Y592" s="310"/>
      <c r="AA592" s="311"/>
    </row>
    <row r="593" spans="1:27" s="309" customFormat="1">
      <c r="A593" s="301"/>
      <c r="B593" s="76"/>
      <c r="C593" s="76"/>
      <c r="D593" s="313"/>
      <c r="E593" s="301"/>
      <c r="F593" s="301"/>
      <c r="G593" s="301"/>
      <c r="H593" s="301"/>
      <c r="I593" s="301"/>
      <c r="J593" s="301"/>
      <c r="K593" s="301"/>
      <c r="L593" s="301"/>
      <c r="M593" s="301"/>
      <c r="N593" s="303"/>
      <c r="O593" s="304"/>
      <c r="P593" s="305"/>
      <c r="Q593" s="314"/>
      <c r="R593" s="315"/>
      <c r="S593" s="307"/>
      <c r="T593" s="306"/>
      <c r="U593" s="306"/>
      <c r="V593" s="300"/>
      <c r="W593" s="308"/>
      <c r="Y593" s="310"/>
      <c r="AA593" s="311"/>
    </row>
    <row r="594" spans="1:27" s="309" customFormat="1">
      <c r="A594" s="301"/>
      <c r="B594" s="76"/>
      <c r="C594" s="76"/>
      <c r="D594" s="313"/>
      <c r="E594" s="301"/>
      <c r="F594" s="301"/>
      <c r="G594" s="301"/>
      <c r="H594" s="301"/>
      <c r="I594" s="301"/>
      <c r="J594" s="301"/>
      <c r="K594" s="301"/>
      <c r="L594" s="301"/>
      <c r="M594" s="301"/>
      <c r="N594" s="303"/>
      <c r="O594" s="304"/>
      <c r="P594" s="301"/>
      <c r="Q594" s="301"/>
      <c r="R594" s="301"/>
      <c r="S594" s="307"/>
      <c r="T594" s="306"/>
      <c r="U594" s="306"/>
      <c r="V594" s="300"/>
      <c r="W594" s="308"/>
      <c r="X594" s="317"/>
      <c r="Y594" s="310"/>
      <c r="AA594" s="311"/>
    </row>
    <row r="595" spans="1:27" s="309" customFormat="1">
      <c r="A595" s="301"/>
      <c r="B595" s="76"/>
      <c r="C595" s="76"/>
      <c r="D595" s="313"/>
      <c r="E595" s="301"/>
      <c r="F595" s="301"/>
      <c r="G595" s="301"/>
      <c r="H595" s="301"/>
      <c r="I595" s="301"/>
      <c r="J595" s="301"/>
      <c r="K595" s="301"/>
      <c r="L595" s="301"/>
      <c r="M595" s="301"/>
      <c r="N595" s="303"/>
      <c r="O595" s="304"/>
      <c r="P595" s="301"/>
      <c r="Q595" s="301"/>
      <c r="R595" s="301"/>
      <c r="S595" s="307"/>
      <c r="T595" s="306"/>
      <c r="U595" s="306"/>
      <c r="V595" s="300"/>
      <c r="W595" s="308"/>
      <c r="Y595" s="310"/>
      <c r="AA595" s="311"/>
    </row>
    <row r="596" spans="1:27" s="309" customFormat="1">
      <c r="A596" s="301"/>
      <c r="B596" s="76"/>
      <c r="C596" s="76"/>
      <c r="D596" s="313"/>
      <c r="E596" s="301"/>
      <c r="F596" s="301"/>
      <c r="G596" s="301"/>
      <c r="H596" s="301"/>
      <c r="I596" s="301"/>
      <c r="J596" s="301"/>
      <c r="K596" s="301"/>
      <c r="L596" s="301"/>
      <c r="M596" s="301"/>
      <c r="N596" s="303"/>
      <c r="O596" s="304"/>
      <c r="P596" s="301"/>
      <c r="Q596" s="315"/>
      <c r="R596" s="315"/>
      <c r="S596" s="307"/>
      <c r="T596" s="306"/>
      <c r="U596" s="306"/>
      <c r="V596" s="300"/>
      <c r="W596" s="308"/>
      <c r="Y596" s="310"/>
      <c r="AA596" s="311"/>
    </row>
    <row r="597" spans="1:27" s="309" customFormat="1">
      <c r="A597" s="301"/>
      <c r="B597" s="76"/>
      <c r="C597" s="76"/>
      <c r="D597" s="313"/>
      <c r="E597" s="301"/>
      <c r="F597" s="301"/>
      <c r="G597" s="301"/>
      <c r="H597" s="301"/>
      <c r="I597" s="301"/>
      <c r="J597" s="301"/>
      <c r="K597" s="301"/>
      <c r="L597" s="301"/>
      <c r="M597" s="301"/>
      <c r="N597" s="303"/>
      <c r="O597" s="304"/>
      <c r="P597" s="301"/>
      <c r="Q597" s="315"/>
      <c r="R597" s="315"/>
      <c r="S597" s="307"/>
      <c r="T597" s="306"/>
      <c r="U597" s="306"/>
      <c r="V597" s="300"/>
      <c r="W597" s="308"/>
      <c r="Y597" s="310"/>
      <c r="AA597" s="311"/>
    </row>
    <row r="598" spans="1:27" s="309" customFormat="1">
      <c r="A598" s="301"/>
      <c r="B598" s="76"/>
      <c r="C598" s="76"/>
      <c r="D598" s="313"/>
      <c r="E598" s="301"/>
      <c r="F598" s="301"/>
      <c r="G598" s="301"/>
      <c r="H598" s="301"/>
      <c r="I598" s="301"/>
      <c r="J598" s="301"/>
      <c r="K598" s="301"/>
      <c r="L598" s="301"/>
      <c r="M598" s="301"/>
      <c r="N598" s="303"/>
      <c r="O598" s="304"/>
      <c r="P598" s="301"/>
      <c r="Q598" s="76"/>
      <c r="R598" s="76"/>
      <c r="S598" s="307"/>
      <c r="T598" s="306"/>
      <c r="U598" s="306"/>
      <c r="V598" s="300"/>
      <c r="W598" s="308"/>
      <c r="Y598" s="310"/>
      <c r="AA598" s="311"/>
    </row>
    <row r="599" spans="1:27" s="309" customFormat="1">
      <c r="A599" s="301"/>
      <c r="B599" s="76"/>
      <c r="C599" s="76"/>
      <c r="D599" s="313"/>
      <c r="E599" s="301"/>
      <c r="F599" s="301"/>
      <c r="G599" s="301"/>
      <c r="H599" s="301"/>
      <c r="I599" s="301"/>
      <c r="J599" s="301"/>
      <c r="K599" s="301"/>
      <c r="L599" s="301"/>
      <c r="M599" s="301"/>
      <c r="N599" s="303"/>
      <c r="O599" s="304"/>
      <c r="P599" s="301"/>
      <c r="Q599" s="76"/>
      <c r="R599" s="76"/>
      <c r="S599" s="307"/>
      <c r="T599" s="306"/>
      <c r="U599" s="306"/>
      <c r="V599" s="300"/>
      <c r="W599" s="308"/>
      <c r="Y599" s="310"/>
      <c r="AA599" s="311"/>
    </row>
    <row r="600" spans="1:27" s="309" customFormat="1">
      <c r="A600" s="301"/>
      <c r="B600" s="76"/>
      <c r="C600" s="76"/>
      <c r="D600" s="313"/>
      <c r="E600" s="301"/>
      <c r="F600" s="301"/>
      <c r="G600" s="301"/>
      <c r="H600" s="301"/>
      <c r="I600" s="301"/>
      <c r="J600" s="301"/>
      <c r="K600" s="301"/>
      <c r="L600" s="301"/>
      <c r="M600" s="301"/>
      <c r="N600" s="303"/>
      <c r="O600" s="304"/>
      <c r="P600" s="301"/>
      <c r="Q600" s="76"/>
      <c r="R600" s="76"/>
      <c r="S600" s="307"/>
      <c r="T600" s="306"/>
      <c r="U600" s="306"/>
      <c r="V600" s="300"/>
      <c r="W600" s="308"/>
      <c r="Y600" s="310"/>
      <c r="AA600" s="311"/>
    </row>
    <row r="601" spans="1:27" s="309" customFormat="1">
      <c r="A601" s="301"/>
      <c r="B601" s="76"/>
      <c r="C601" s="76"/>
      <c r="D601" s="313"/>
      <c r="E601" s="301"/>
      <c r="F601" s="301"/>
      <c r="G601" s="301"/>
      <c r="H601" s="301"/>
      <c r="I601" s="301"/>
      <c r="J601" s="301"/>
      <c r="K601" s="301"/>
      <c r="L601" s="301"/>
      <c r="M601" s="301"/>
      <c r="N601" s="303"/>
      <c r="O601" s="304"/>
      <c r="P601" s="301"/>
      <c r="Q601" s="76"/>
      <c r="R601" s="76"/>
      <c r="S601" s="307"/>
      <c r="T601" s="306"/>
      <c r="U601" s="306"/>
      <c r="V601" s="300"/>
      <c r="W601" s="308"/>
      <c r="Y601" s="310"/>
      <c r="AA601" s="311"/>
    </row>
    <row r="602" spans="1:27" s="309" customFormat="1">
      <c r="A602" s="301"/>
      <c r="B602" s="76"/>
      <c r="C602" s="76"/>
      <c r="D602" s="313"/>
      <c r="E602" s="301"/>
      <c r="F602" s="301"/>
      <c r="G602" s="301"/>
      <c r="H602" s="301"/>
      <c r="I602" s="301"/>
      <c r="J602" s="301"/>
      <c r="K602" s="301"/>
      <c r="L602" s="301"/>
      <c r="M602" s="301"/>
      <c r="N602" s="303"/>
      <c r="O602" s="304"/>
      <c r="P602" s="301"/>
      <c r="Q602" s="76"/>
      <c r="R602" s="76"/>
      <c r="S602" s="307"/>
      <c r="T602" s="306"/>
      <c r="U602" s="306"/>
      <c r="V602" s="300"/>
      <c r="W602" s="308"/>
      <c r="Y602" s="310"/>
      <c r="AA602" s="311"/>
    </row>
    <row r="603" spans="1:27" s="309" customFormat="1">
      <c r="A603" s="301"/>
      <c r="B603" s="76"/>
      <c r="C603" s="76"/>
      <c r="D603" s="313"/>
      <c r="E603" s="301"/>
      <c r="F603" s="301"/>
      <c r="G603" s="301"/>
      <c r="H603" s="301"/>
      <c r="I603" s="301"/>
      <c r="J603" s="301"/>
      <c r="K603" s="301"/>
      <c r="L603" s="301"/>
      <c r="M603" s="301"/>
      <c r="N603" s="303"/>
      <c r="O603" s="304"/>
      <c r="P603" s="301"/>
      <c r="Q603" s="76"/>
      <c r="R603" s="76"/>
      <c r="S603" s="307"/>
      <c r="T603" s="306"/>
      <c r="U603" s="306"/>
      <c r="V603" s="300"/>
      <c r="W603" s="308"/>
      <c r="Y603" s="310"/>
      <c r="AA603" s="311"/>
    </row>
    <row r="604" spans="1:27" s="309" customFormat="1">
      <c r="A604" s="301"/>
      <c r="B604" s="76"/>
      <c r="C604" s="76"/>
      <c r="D604" s="313"/>
      <c r="E604" s="301"/>
      <c r="F604" s="301"/>
      <c r="G604" s="301"/>
      <c r="H604" s="301"/>
      <c r="I604" s="301"/>
      <c r="J604" s="301"/>
      <c r="K604" s="301"/>
      <c r="L604" s="301"/>
      <c r="M604" s="301"/>
      <c r="N604" s="303"/>
      <c r="O604" s="304"/>
      <c r="P604" s="301"/>
      <c r="Q604" s="76"/>
      <c r="R604" s="76"/>
      <c r="S604" s="307"/>
      <c r="T604" s="306"/>
      <c r="U604" s="306"/>
      <c r="V604" s="300"/>
      <c r="W604" s="308"/>
      <c r="Y604" s="310"/>
      <c r="AA604" s="311"/>
    </row>
    <row r="605" spans="1:27" s="309" customFormat="1">
      <c r="A605" s="301"/>
      <c r="B605" s="76"/>
      <c r="C605" s="76"/>
      <c r="D605" s="313"/>
      <c r="E605" s="301"/>
      <c r="F605" s="301"/>
      <c r="G605" s="301"/>
      <c r="H605" s="301"/>
      <c r="I605" s="301"/>
      <c r="J605" s="301"/>
      <c r="K605" s="301"/>
      <c r="L605" s="301"/>
      <c r="M605" s="301"/>
      <c r="N605" s="303"/>
      <c r="O605" s="304"/>
      <c r="P605" s="301"/>
      <c r="Q605" s="76"/>
      <c r="R605" s="76"/>
      <c r="S605" s="307"/>
      <c r="T605" s="306"/>
      <c r="U605" s="306"/>
      <c r="V605" s="300"/>
      <c r="W605" s="308"/>
      <c r="Y605" s="310"/>
      <c r="AA605" s="311"/>
    </row>
    <row r="606" spans="1:27" s="309" customFormat="1">
      <c r="A606" s="301"/>
      <c r="B606" s="76"/>
      <c r="C606" s="76"/>
      <c r="D606" s="313"/>
      <c r="E606" s="301"/>
      <c r="F606" s="301"/>
      <c r="G606" s="301"/>
      <c r="H606" s="301"/>
      <c r="I606" s="301"/>
      <c r="J606" s="301"/>
      <c r="K606" s="301"/>
      <c r="L606" s="301"/>
      <c r="M606" s="301"/>
      <c r="N606" s="303"/>
      <c r="O606" s="304"/>
      <c r="P606" s="301"/>
      <c r="Q606" s="76"/>
      <c r="R606" s="76"/>
      <c r="S606" s="307"/>
      <c r="T606" s="306"/>
      <c r="U606" s="306"/>
      <c r="V606" s="300"/>
      <c r="W606" s="308"/>
      <c r="Y606" s="310"/>
      <c r="AA606" s="311"/>
    </row>
    <row r="607" spans="1:27" s="309" customFormat="1">
      <c r="A607" s="301"/>
      <c r="B607" s="76"/>
      <c r="C607" s="76"/>
      <c r="D607" s="313"/>
      <c r="E607" s="301"/>
      <c r="F607" s="301"/>
      <c r="G607" s="301"/>
      <c r="H607" s="301"/>
      <c r="I607" s="301"/>
      <c r="J607" s="301"/>
      <c r="K607" s="301"/>
      <c r="L607" s="301"/>
      <c r="M607" s="301"/>
      <c r="N607" s="303"/>
      <c r="O607" s="304"/>
      <c r="P607" s="301"/>
      <c r="Q607" s="76"/>
      <c r="R607" s="76"/>
      <c r="S607" s="307"/>
      <c r="T607" s="306"/>
      <c r="U607" s="306"/>
      <c r="V607" s="300"/>
      <c r="W607" s="308"/>
      <c r="Y607" s="310"/>
      <c r="AA607" s="311"/>
    </row>
    <row r="608" spans="1:27" s="309" customFormat="1">
      <c r="A608" s="301"/>
      <c r="B608" s="76"/>
      <c r="C608" s="76"/>
      <c r="D608" s="313"/>
      <c r="E608" s="301"/>
      <c r="F608" s="301"/>
      <c r="G608" s="301"/>
      <c r="H608" s="301"/>
      <c r="I608" s="301"/>
      <c r="J608" s="301"/>
      <c r="K608" s="301"/>
      <c r="L608" s="301"/>
      <c r="M608" s="301"/>
      <c r="N608" s="303"/>
      <c r="O608" s="304"/>
      <c r="P608" s="301"/>
      <c r="Q608" s="76"/>
      <c r="R608" s="76"/>
      <c r="S608" s="307"/>
      <c r="T608" s="306"/>
      <c r="U608" s="306"/>
      <c r="V608" s="300"/>
      <c r="W608" s="308"/>
      <c r="Y608" s="310"/>
      <c r="AA608" s="311"/>
    </row>
    <row r="609" spans="1:27" s="309" customFormat="1">
      <c r="A609" s="301"/>
      <c r="B609" s="76"/>
      <c r="C609" s="76"/>
      <c r="D609" s="313"/>
      <c r="E609" s="301"/>
      <c r="F609" s="301"/>
      <c r="G609" s="301"/>
      <c r="H609" s="301"/>
      <c r="I609" s="301"/>
      <c r="J609" s="301"/>
      <c r="K609" s="301"/>
      <c r="L609" s="301"/>
      <c r="M609" s="301"/>
      <c r="N609" s="303"/>
      <c r="O609" s="304"/>
      <c r="P609" s="301"/>
      <c r="Q609" s="76"/>
      <c r="R609" s="76"/>
      <c r="S609" s="307"/>
      <c r="T609" s="306"/>
      <c r="U609" s="306"/>
      <c r="V609" s="300"/>
      <c r="W609" s="308"/>
      <c r="Y609" s="310"/>
      <c r="AA609" s="311"/>
    </row>
    <row r="610" spans="1:27" s="309" customFormat="1">
      <c r="A610" s="301"/>
      <c r="B610" s="76"/>
      <c r="C610" s="76"/>
      <c r="D610" s="313"/>
      <c r="E610" s="301"/>
      <c r="F610" s="301"/>
      <c r="G610" s="301"/>
      <c r="H610" s="301"/>
      <c r="I610" s="301"/>
      <c r="J610" s="301"/>
      <c r="K610" s="301"/>
      <c r="L610" s="301"/>
      <c r="M610" s="301"/>
      <c r="N610" s="303"/>
      <c r="O610" s="304"/>
      <c r="P610" s="301"/>
      <c r="Q610" s="76"/>
      <c r="R610" s="76"/>
      <c r="S610" s="307"/>
      <c r="T610" s="306"/>
      <c r="U610" s="306"/>
      <c r="V610" s="300"/>
      <c r="W610" s="308"/>
      <c r="Y610" s="310"/>
      <c r="AA610" s="311"/>
    </row>
    <row r="611" spans="1:27" s="309" customFormat="1">
      <c r="A611" s="301"/>
      <c r="B611" s="76"/>
      <c r="C611" s="76"/>
      <c r="D611" s="313"/>
      <c r="E611" s="301"/>
      <c r="F611" s="301"/>
      <c r="G611" s="301"/>
      <c r="H611" s="301"/>
      <c r="I611" s="301"/>
      <c r="J611" s="301"/>
      <c r="K611" s="301"/>
      <c r="L611" s="301"/>
      <c r="M611" s="301"/>
      <c r="N611" s="303"/>
      <c r="O611" s="304"/>
      <c r="P611" s="301"/>
      <c r="Q611" s="76"/>
      <c r="R611" s="76"/>
      <c r="S611" s="307"/>
      <c r="T611" s="306"/>
      <c r="U611" s="306"/>
      <c r="V611" s="300"/>
      <c r="W611" s="308"/>
      <c r="Y611" s="310"/>
      <c r="AA611" s="311"/>
    </row>
    <row r="612" spans="1:27" s="309" customFormat="1">
      <c r="A612" s="301"/>
      <c r="B612" s="76"/>
      <c r="C612" s="76"/>
      <c r="D612" s="313"/>
      <c r="E612" s="301"/>
      <c r="F612" s="301"/>
      <c r="G612" s="301"/>
      <c r="H612" s="301"/>
      <c r="I612" s="301"/>
      <c r="J612" s="301"/>
      <c r="K612" s="301"/>
      <c r="L612" s="301"/>
      <c r="M612" s="301"/>
      <c r="N612" s="303"/>
      <c r="O612" s="304"/>
      <c r="P612" s="301"/>
      <c r="Q612" s="76"/>
      <c r="R612" s="76"/>
      <c r="S612" s="307"/>
      <c r="T612" s="306"/>
      <c r="U612" s="306"/>
      <c r="V612" s="300"/>
      <c r="W612" s="308"/>
      <c r="Y612" s="310"/>
      <c r="AA612" s="311"/>
    </row>
    <row r="613" spans="1:27" s="309" customFormat="1">
      <c r="A613" s="301"/>
      <c r="B613" s="76"/>
      <c r="C613" s="76"/>
      <c r="D613" s="313"/>
      <c r="E613" s="301"/>
      <c r="F613" s="301"/>
      <c r="G613" s="301"/>
      <c r="H613" s="301"/>
      <c r="I613" s="301"/>
      <c r="J613" s="301"/>
      <c r="K613" s="301"/>
      <c r="L613" s="301"/>
      <c r="M613" s="301"/>
      <c r="N613" s="303"/>
      <c r="O613" s="304"/>
      <c r="P613" s="301"/>
      <c r="Q613" s="76"/>
      <c r="R613" s="76"/>
      <c r="S613" s="307"/>
      <c r="T613" s="306"/>
      <c r="U613" s="306"/>
      <c r="V613" s="300"/>
      <c r="W613" s="308"/>
      <c r="Y613" s="310"/>
      <c r="AA613" s="311"/>
    </row>
    <row r="614" spans="1:27" s="309" customFormat="1">
      <c r="A614" s="301"/>
      <c r="B614" s="76"/>
      <c r="C614" s="76"/>
      <c r="D614" s="313"/>
      <c r="E614" s="301"/>
      <c r="F614" s="301"/>
      <c r="G614" s="301"/>
      <c r="H614" s="301"/>
      <c r="I614" s="301"/>
      <c r="J614" s="301"/>
      <c r="K614" s="301"/>
      <c r="L614" s="301"/>
      <c r="M614" s="301"/>
      <c r="N614" s="303"/>
      <c r="O614" s="304"/>
      <c r="P614" s="301"/>
      <c r="Q614" s="76"/>
      <c r="R614" s="76"/>
      <c r="S614" s="307"/>
      <c r="T614" s="306"/>
      <c r="U614" s="306"/>
      <c r="V614" s="300"/>
      <c r="W614" s="308"/>
      <c r="Y614" s="310"/>
      <c r="AA614" s="311"/>
    </row>
    <row r="615" spans="1:27" s="309" customFormat="1">
      <c r="A615" s="301"/>
      <c r="B615" s="76"/>
      <c r="C615" s="76"/>
      <c r="D615" s="318"/>
      <c r="E615" s="319"/>
      <c r="F615" s="319"/>
      <c r="G615" s="319"/>
      <c r="H615" s="319"/>
      <c r="I615" s="319"/>
      <c r="J615" s="319"/>
      <c r="K615" s="319"/>
      <c r="L615" s="319"/>
      <c r="M615" s="319"/>
      <c r="N615" s="303"/>
      <c r="O615" s="304"/>
      <c r="P615" s="301"/>
      <c r="Q615" s="76"/>
      <c r="R615" s="76"/>
      <c r="S615" s="307"/>
      <c r="T615" s="306"/>
      <c r="U615" s="306"/>
      <c r="V615" s="300"/>
      <c r="W615" s="308"/>
      <c r="Y615" s="310"/>
      <c r="AA615" s="311"/>
    </row>
    <row r="616" spans="1:27" s="309" customFormat="1">
      <c r="A616" s="301"/>
      <c r="B616" s="76"/>
      <c r="C616" s="76"/>
      <c r="D616" s="318"/>
      <c r="E616" s="319"/>
      <c r="F616" s="319"/>
      <c r="G616" s="319"/>
      <c r="H616" s="319"/>
      <c r="I616" s="319"/>
      <c r="J616" s="319"/>
      <c r="K616" s="319"/>
      <c r="L616" s="319"/>
      <c r="M616" s="319"/>
      <c r="N616" s="303"/>
      <c r="O616" s="304"/>
      <c r="P616" s="301"/>
      <c r="Q616" s="76"/>
      <c r="R616" s="76"/>
      <c r="S616" s="307"/>
      <c r="T616" s="306"/>
      <c r="U616" s="306"/>
      <c r="V616" s="300"/>
      <c r="W616" s="308"/>
      <c r="Y616" s="310"/>
      <c r="AA616" s="311"/>
    </row>
    <row r="617" spans="1:27" s="309" customFormat="1">
      <c r="A617" s="301"/>
      <c r="B617" s="76"/>
      <c r="C617" s="76"/>
      <c r="D617" s="318"/>
      <c r="E617" s="319"/>
      <c r="F617" s="319"/>
      <c r="G617" s="319"/>
      <c r="H617" s="319"/>
      <c r="I617" s="319"/>
      <c r="J617" s="319"/>
      <c r="K617" s="319"/>
      <c r="L617" s="319"/>
      <c r="M617" s="319"/>
      <c r="N617" s="303"/>
      <c r="O617" s="304"/>
      <c r="P617" s="301"/>
      <c r="Q617" s="76"/>
      <c r="R617" s="76"/>
      <c r="S617" s="307"/>
      <c r="T617" s="306"/>
      <c r="U617" s="306"/>
      <c r="V617" s="300"/>
      <c r="W617" s="308"/>
      <c r="Y617" s="310"/>
      <c r="AA617" s="311"/>
    </row>
    <row r="618" spans="1:27" s="309" customFormat="1">
      <c r="A618" s="301"/>
      <c r="B618" s="76"/>
      <c r="C618" s="76"/>
      <c r="D618" s="318"/>
      <c r="E618" s="319"/>
      <c r="F618" s="319"/>
      <c r="G618" s="319"/>
      <c r="H618" s="319"/>
      <c r="I618" s="319"/>
      <c r="J618" s="319"/>
      <c r="K618" s="319"/>
      <c r="L618" s="319"/>
      <c r="M618" s="319"/>
      <c r="N618" s="303"/>
      <c r="O618" s="304"/>
      <c r="P618" s="301"/>
      <c r="Q618" s="76"/>
      <c r="R618" s="76"/>
      <c r="S618" s="307"/>
      <c r="T618" s="306"/>
      <c r="U618" s="306"/>
      <c r="V618" s="300"/>
      <c r="W618" s="308"/>
      <c r="Y618" s="310"/>
      <c r="AA618" s="311"/>
    </row>
    <row r="619" spans="1:27">
      <c r="A619" s="301"/>
      <c r="B619" s="76"/>
      <c r="C619" s="76"/>
      <c r="D619" s="320"/>
      <c r="E619" s="321"/>
      <c r="F619" s="321"/>
      <c r="G619" s="321"/>
      <c r="H619" s="321"/>
      <c r="I619" s="321"/>
      <c r="J619" s="321"/>
      <c r="K619" s="321"/>
      <c r="L619" s="321"/>
      <c r="M619" s="321"/>
      <c r="N619" s="303"/>
      <c r="O619" s="304"/>
      <c r="P619" s="305"/>
      <c r="Q619" s="76"/>
      <c r="R619" s="76"/>
      <c r="S619" s="307"/>
      <c r="T619" s="306"/>
      <c r="U619" s="306"/>
    </row>
    <row r="620" spans="1:27">
      <c r="A620" s="301"/>
      <c r="B620" s="76"/>
      <c r="C620" s="76"/>
      <c r="D620" s="320"/>
      <c r="E620" s="321"/>
      <c r="F620" s="321"/>
      <c r="G620" s="321"/>
      <c r="H620" s="321"/>
      <c r="I620" s="321"/>
      <c r="J620" s="321"/>
      <c r="K620" s="321"/>
      <c r="L620" s="321"/>
      <c r="M620" s="321"/>
      <c r="N620" s="303"/>
      <c r="O620" s="304"/>
      <c r="P620" s="305"/>
      <c r="Q620" s="312"/>
      <c r="R620" s="76"/>
      <c r="S620" s="307"/>
      <c r="T620" s="306"/>
      <c r="U620" s="306"/>
    </row>
    <row r="621" spans="1:27">
      <c r="A621" s="301"/>
      <c r="B621" s="76"/>
      <c r="C621" s="76"/>
      <c r="D621" s="320"/>
      <c r="E621" s="321"/>
      <c r="F621" s="321"/>
      <c r="G621" s="321"/>
      <c r="H621" s="321"/>
      <c r="I621" s="321"/>
      <c r="J621" s="321"/>
      <c r="K621" s="321"/>
      <c r="L621" s="321"/>
      <c r="M621" s="321"/>
      <c r="N621" s="303"/>
      <c r="O621" s="304"/>
      <c r="P621" s="305"/>
      <c r="Q621" s="312"/>
      <c r="R621" s="76"/>
      <c r="S621" s="307"/>
      <c r="T621" s="306"/>
      <c r="U621" s="306"/>
    </row>
    <row r="622" spans="1:27">
      <c r="A622" s="301"/>
      <c r="B622" s="76"/>
      <c r="C622" s="76"/>
      <c r="D622" s="320"/>
      <c r="E622" s="321"/>
      <c r="F622" s="321"/>
      <c r="G622" s="321"/>
      <c r="H622" s="321"/>
      <c r="I622" s="321"/>
      <c r="J622" s="321"/>
      <c r="K622" s="321"/>
      <c r="L622" s="321"/>
      <c r="M622" s="321"/>
      <c r="N622" s="303"/>
      <c r="O622" s="304"/>
      <c r="P622" s="305"/>
      <c r="Q622" s="312"/>
      <c r="R622" s="76"/>
      <c r="S622" s="307"/>
      <c r="T622" s="306"/>
      <c r="U622" s="306"/>
    </row>
    <row r="623" spans="1:27">
      <c r="A623" s="301"/>
      <c r="B623" s="76"/>
      <c r="C623" s="76"/>
      <c r="D623" s="320"/>
      <c r="E623" s="321"/>
      <c r="F623" s="321"/>
      <c r="G623" s="321"/>
      <c r="H623" s="321"/>
      <c r="I623" s="321"/>
      <c r="J623" s="321"/>
      <c r="K623" s="321"/>
      <c r="L623" s="321"/>
      <c r="M623" s="321"/>
      <c r="N623" s="303"/>
      <c r="O623" s="304"/>
      <c r="P623" s="305"/>
      <c r="Q623" s="312"/>
      <c r="R623" s="76"/>
      <c r="S623" s="307"/>
      <c r="T623" s="306"/>
      <c r="U623" s="306"/>
    </row>
    <row r="624" spans="1:27">
      <c r="A624" s="301"/>
      <c r="B624" s="76"/>
      <c r="C624" s="76"/>
      <c r="D624" s="320"/>
      <c r="E624" s="321"/>
      <c r="F624" s="321"/>
      <c r="G624" s="321"/>
      <c r="H624" s="321"/>
      <c r="I624" s="321"/>
      <c r="J624" s="321"/>
      <c r="K624" s="321"/>
      <c r="L624" s="321"/>
      <c r="M624" s="321"/>
      <c r="N624" s="303"/>
      <c r="O624" s="304"/>
      <c r="P624" s="305"/>
      <c r="Q624" s="312"/>
      <c r="R624" s="76"/>
      <c r="S624" s="307"/>
      <c r="T624" s="306"/>
      <c r="U624" s="306"/>
    </row>
    <row r="625" spans="1:27">
      <c r="A625" s="301"/>
      <c r="B625" s="76"/>
      <c r="C625" s="76"/>
      <c r="D625" s="320"/>
      <c r="E625" s="321"/>
      <c r="F625" s="321"/>
      <c r="G625" s="321"/>
      <c r="H625" s="321"/>
      <c r="I625" s="321"/>
      <c r="J625" s="321"/>
      <c r="K625" s="321"/>
      <c r="L625" s="321"/>
      <c r="M625" s="321"/>
      <c r="N625" s="303"/>
      <c r="O625" s="304"/>
      <c r="P625" s="305"/>
      <c r="Q625" s="312"/>
      <c r="R625" s="76"/>
      <c r="S625" s="307"/>
      <c r="T625" s="306"/>
      <c r="U625" s="306"/>
    </row>
    <row r="626" spans="1:27" s="258" customFormat="1">
      <c r="A626" s="312"/>
      <c r="B626" s="76"/>
      <c r="C626" s="76"/>
      <c r="D626" s="320"/>
      <c r="E626" s="321"/>
      <c r="F626" s="321"/>
      <c r="G626" s="321"/>
      <c r="H626" s="321"/>
      <c r="I626" s="321"/>
      <c r="J626" s="321"/>
      <c r="K626" s="321"/>
      <c r="L626" s="321"/>
      <c r="M626" s="321"/>
      <c r="N626" s="303"/>
      <c r="O626" s="304"/>
      <c r="P626" s="312"/>
      <c r="Q626" s="312"/>
      <c r="R626" s="76"/>
      <c r="S626" s="307"/>
      <c r="T626" s="301"/>
      <c r="U626" s="301"/>
      <c r="V626" s="323"/>
      <c r="W626" s="259"/>
      <c r="Y626" s="260"/>
      <c r="AA626" s="259"/>
    </row>
    <row r="627" spans="1:27" s="258" customFormat="1">
      <c r="A627" s="312"/>
      <c r="B627" s="76"/>
      <c r="C627" s="76"/>
      <c r="D627" s="320"/>
      <c r="E627" s="321"/>
      <c r="F627" s="321"/>
      <c r="G627" s="321"/>
      <c r="H627" s="321"/>
      <c r="I627" s="321"/>
      <c r="J627" s="321"/>
      <c r="K627" s="321"/>
      <c r="L627" s="321"/>
      <c r="M627" s="321"/>
      <c r="N627" s="303"/>
      <c r="O627" s="304"/>
      <c r="P627" s="312"/>
      <c r="Q627" s="312"/>
      <c r="R627" s="76"/>
      <c r="S627" s="307"/>
      <c r="T627" s="301"/>
      <c r="U627" s="301"/>
      <c r="V627" s="323"/>
      <c r="W627" s="259"/>
      <c r="Y627" s="260"/>
      <c r="AA627" s="259"/>
    </row>
    <row r="628" spans="1:27" s="258" customFormat="1">
      <c r="A628" s="312"/>
      <c r="B628" s="76"/>
      <c r="C628" s="76"/>
      <c r="D628" s="320"/>
      <c r="E628" s="321"/>
      <c r="F628" s="321"/>
      <c r="G628" s="321"/>
      <c r="H628" s="321"/>
      <c r="I628" s="321"/>
      <c r="J628" s="321"/>
      <c r="K628" s="321"/>
      <c r="L628" s="321"/>
      <c r="M628" s="321"/>
      <c r="N628" s="303"/>
      <c r="O628" s="304"/>
      <c r="P628" s="312"/>
      <c r="Q628" s="312"/>
      <c r="R628" s="76"/>
      <c r="S628" s="307"/>
      <c r="T628" s="301"/>
      <c r="U628" s="301"/>
      <c r="V628" s="323"/>
      <c r="W628" s="259"/>
      <c r="Y628" s="260"/>
      <c r="AA628" s="259"/>
    </row>
    <row r="629" spans="1:27" s="258" customFormat="1">
      <c r="A629" s="312"/>
      <c r="B629" s="76"/>
      <c r="C629" s="76"/>
      <c r="D629" s="320"/>
      <c r="E629" s="321"/>
      <c r="F629" s="321"/>
      <c r="G629" s="321"/>
      <c r="H629" s="321"/>
      <c r="I629" s="321"/>
      <c r="J629" s="321"/>
      <c r="K629" s="321"/>
      <c r="L629" s="321"/>
      <c r="M629" s="321"/>
      <c r="N629" s="303"/>
      <c r="O629" s="304"/>
      <c r="P629" s="312"/>
      <c r="Q629" s="312"/>
      <c r="R629" s="76"/>
      <c r="S629" s="307"/>
      <c r="T629" s="301"/>
      <c r="U629" s="301"/>
      <c r="V629" s="323"/>
      <c r="W629" s="259"/>
      <c r="Y629" s="260"/>
      <c r="AA629" s="259"/>
    </row>
    <row r="630" spans="1:27" s="258" customFormat="1">
      <c r="A630" s="312"/>
      <c r="B630" s="76"/>
      <c r="C630" s="76"/>
      <c r="D630" s="324"/>
      <c r="E630" s="325"/>
      <c r="F630" s="325"/>
      <c r="G630" s="325"/>
      <c r="H630" s="325"/>
      <c r="I630" s="325"/>
      <c r="J630" s="325"/>
      <c r="K630" s="325"/>
      <c r="L630" s="325"/>
      <c r="M630" s="325"/>
      <c r="N630" s="303"/>
      <c r="O630" s="304"/>
      <c r="P630" s="312"/>
      <c r="Q630" s="312"/>
      <c r="R630" s="76"/>
      <c r="S630" s="307"/>
      <c r="T630" s="301"/>
      <c r="U630" s="301"/>
      <c r="V630" s="323"/>
      <c r="W630" s="259"/>
      <c r="Y630" s="260"/>
      <c r="AA630" s="259"/>
    </row>
    <row r="631" spans="1:27" s="258" customFormat="1">
      <c r="A631" s="312"/>
      <c r="B631" s="76"/>
      <c r="C631" s="76"/>
      <c r="D631" s="324"/>
      <c r="E631" s="325"/>
      <c r="F631" s="325"/>
      <c r="G631" s="325"/>
      <c r="H631" s="325"/>
      <c r="I631" s="325"/>
      <c r="J631" s="325"/>
      <c r="K631" s="325"/>
      <c r="L631" s="325"/>
      <c r="M631" s="325"/>
      <c r="N631" s="303"/>
      <c r="O631" s="304"/>
      <c r="P631" s="312"/>
      <c r="Q631" s="312"/>
      <c r="R631" s="76"/>
      <c r="S631" s="307"/>
      <c r="T631" s="301"/>
      <c r="U631" s="301"/>
      <c r="V631" s="323"/>
      <c r="W631" s="259"/>
      <c r="Y631" s="260"/>
      <c r="AA631" s="259"/>
    </row>
    <row r="632" spans="1:27" s="258" customFormat="1">
      <c r="A632" s="312"/>
      <c r="B632" s="76"/>
      <c r="C632" s="76"/>
      <c r="D632" s="324"/>
      <c r="E632" s="325"/>
      <c r="F632" s="325"/>
      <c r="G632" s="325"/>
      <c r="H632" s="325"/>
      <c r="I632" s="325"/>
      <c r="J632" s="325"/>
      <c r="K632" s="325"/>
      <c r="L632" s="325"/>
      <c r="M632" s="325"/>
      <c r="N632" s="303"/>
      <c r="O632" s="304"/>
      <c r="P632" s="312"/>
      <c r="Q632" s="312"/>
      <c r="R632" s="76"/>
      <c r="S632" s="307"/>
      <c r="T632" s="301"/>
      <c r="U632" s="301"/>
      <c r="V632" s="323"/>
      <c r="W632" s="259"/>
      <c r="Y632" s="260"/>
      <c r="AA632" s="259"/>
    </row>
    <row r="633" spans="1:27" s="258" customFormat="1">
      <c r="A633" s="312"/>
      <c r="B633" s="76"/>
      <c r="C633" s="76"/>
      <c r="D633" s="324"/>
      <c r="E633" s="325"/>
      <c r="F633" s="325"/>
      <c r="G633" s="325"/>
      <c r="H633" s="325"/>
      <c r="I633" s="325"/>
      <c r="J633" s="325"/>
      <c r="K633" s="325"/>
      <c r="L633" s="325"/>
      <c r="M633" s="325"/>
      <c r="N633" s="303"/>
      <c r="O633" s="304"/>
      <c r="P633" s="312"/>
      <c r="Q633" s="312"/>
      <c r="R633" s="76"/>
      <c r="S633" s="307"/>
      <c r="T633" s="301"/>
      <c r="U633" s="301"/>
      <c r="V633" s="323"/>
      <c r="W633" s="259"/>
      <c r="Y633" s="260"/>
      <c r="AA633" s="259"/>
    </row>
    <row r="634" spans="1:27" s="258" customFormat="1">
      <c r="A634" s="312"/>
      <c r="B634" s="76"/>
      <c r="C634" s="76"/>
      <c r="D634" s="324"/>
      <c r="E634" s="325"/>
      <c r="F634" s="325"/>
      <c r="G634" s="325"/>
      <c r="H634" s="325"/>
      <c r="I634" s="325"/>
      <c r="J634" s="325"/>
      <c r="K634" s="325"/>
      <c r="L634" s="325"/>
      <c r="M634" s="325"/>
      <c r="N634" s="303"/>
      <c r="O634" s="304"/>
      <c r="P634" s="312"/>
      <c r="Q634" s="312"/>
      <c r="R634" s="76"/>
      <c r="S634" s="307"/>
      <c r="T634" s="301"/>
      <c r="U634" s="301"/>
      <c r="V634" s="323"/>
      <c r="W634" s="259"/>
      <c r="Y634" s="260"/>
      <c r="AA634" s="259"/>
    </row>
    <row r="635" spans="1:27" s="258" customFormat="1">
      <c r="A635" s="312"/>
      <c r="B635" s="76"/>
      <c r="C635" s="76"/>
      <c r="D635" s="324"/>
      <c r="E635" s="325"/>
      <c r="F635" s="325"/>
      <c r="G635" s="325"/>
      <c r="H635" s="325"/>
      <c r="I635" s="325"/>
      <c r="J635" s="325"/>
      <c r="K635" s="325"/>
      <c r="L635" s="325"/>
      <c r="M635" s="325"/>
      <c r="N635" s="303"/>
      <c r="O635" s="304"/>
      <c r="P635" s="312"/>
      <c r="Q635" s="312"/>
      <c r="R635" s="76"/>
      <c r="S635" s="307"/>
      <c r="T635" s="301"/>
      <c r="U635" s="301"/>
      <c r="V635" s="323"/>
      <c r="W635" s="259"/>
      <c r="Y635" s="260"/>
      <c r="AA635" s="259"/>
    </row>
    <row r="636" spans="1:27" s="258" customFormat="1">
      <c r="A636" s="312"/>
      <c r="B636" s="76"/>
      <c r="C636" s="76"/>
      <c r="D636" s="324"/>
      <c r="E636" s="325"/>
      <c r="F636" s="325"/>
      <c r="G636" s="325"/>
      <c r="H636" s="325"/>
      <c r="I636" s="325"/>
      <c r="J636" s="325"/>
      <c r="K636" s="325"/>
      <c r="L636" s="325"/>
      <c r="M636" s="325"/>
      <c r="N636" s="303"/>
      <c r="O636" s="304"/>
      <c r="P636" s="312"/>
      <c r="Q636" s="314"/>
      <c r="R636" s="315"/>
      <c r="S636" s="307"/>
      <c r="T636" s="301"/>
      <c r="U636" s="301"/>
      <c r="V636" s="323"/>
      <c r="W636" s="259"/>
      <c r="Y636" s="260"/>
      <c r="AA636" s="259"/>
    </row>
    <row r="637" spans="1:27" s="258" customFormat="1">
      <c r="A637" s="312"/>
      <c r="B637" s="76"/>
      <c r="C637" s="76"/>
      <c r="D637" s="324"/>
      <c r="E637" s="325"/>
      <c r="F637" s="325"/>
      <c r="G637" s="325"/>
      <c r="H637" s="325"/>
      <c r="I637" s="325"/>
      <c r="J637" s="325"/>
      <c r="K637" s="325"/>
      <c r="L637" s="325"/>
      <c r="M637" s="325"/>
      <c r="N637" s="303"/>
      <c r="O637" s="304"/>
      <c r="P637" s="312"/>
      <c r="Q637" s="314"/>
      <c r="R637" s="315"/>
      <c r="S637" s="307"/>
      <c r="T637" s="301"/>
      <c r="U637" s="301"/>
      <c r="V637" s="323"/>
      <c r="W637" s="259"/>
      <c r="Y637" s="260"/>
      <c r="AA637" s="259"/>
    </row>
    <row r="638" spans="1:27" s="258" customFormat="1">
      <c r="A638" s="312"/>
      <c r="B638" s="76"/>
      <c r="C638" s="76"/>
      <c r="D638" s="324"/>
      <c r="E638" s="325"/>
      <c r="F638" s="325"/>
      <c r="G638" s="325"/>
      <c r="H638" s="325"/>
      <c r="I638" s="325"/>
      <c r="J638" s="325"/>
      <c r="K638" s="325"/>
      <c r="L638" s="325"/>
      <c r="M638" s="325"/>
      <c r="N638" s="303"/>
      <c r="O638" s="304"/>
      <c r="P638" s="312"/>
      <c r="Q638" s="314"/>
      <c r="R638" s="315"/>
      <c r="S638" s="307"/>
      <c r="T638" s="301"/>
      <c r="U638" s="301"/>
      <c r="V638" s="323"/>
      <c r="W638" s="259"/>
      <c r="Y638" s="260"/>
      <c r="AA638" s="259"/>
    </row>
    <row r="639" spans="1:27" s="258" customFormat="1">
      <c r="A639" s="312"/>
      <c r="B639" s="76"/>
      <c r="C639" s="76"/>
      <c r="D639" s="324"/>
      <c r="E639" s="325"/>
      <c r="F639" s="325"/>
      <c r="G639" s="325"/>
      <c r="H639" s="325"/>
      <c r="I639" s="325"/>
      <c r="J639" s="325"/>
      <c r="K639" s="325"/>
      <c r="L639" s="325"/>
      <c r="M639" s="325"/>
      <c r="N639" s="303"/>
      <c r="O639" s="304"/>
      <c r="P639" s="312"/>
      <c r="Q639" s="312"/>
      <c r="R639" s="76"/>
      <c r="S639" s="307"/>
      <c r="T639" s="301"/>
      <c r="U639" s="301"/>
      <c r="V639" s="323"/>
      <c r="W639" s="259"/>
      <c r="Y639" s="260"/>
      <c r="AA639" s="259"/>
    </row>
    <row r="640" spans="1:27" s="258" customFormat="1">
      <c r="A640" s="312"/>
      <c r="B640" s="76"/>
      <c r="C640" s="76"/>
      <c r="D640" s="324"/>
      <c r="E640" s="325"/>
      <c r="F640" s="325"/>
      <c r="G640" s="325"/>
      <c r="H640" s="325"/>
      <c r="I640" s="325"/>
      <c r="J640" s="325"/>
      <c r="K640" s="325"/>
      <c r="L640" s="325"/>
      <c r="M640" s="325"/>
      <c r="N640" s="303"/>
      <c r="O640" s="304"/>
      <c r="P640" s="312"/>
      <c r="Q640" s="312"/>
      <c r="R640" s="76"/>
      <c r="S640" s="307"/>
      <c r="T640" s="301"/>
      <c r="U640" s="301"/>
      <c r="V640" s="323"/>
      <c r="W640" s="259"/>
      <c r="Y640" s="260"/>
      <c r="AA640" s="259"/>
    </row>
    <row r="641" spans="1:27" s="258" customFormat="1">
      <c r="A641" s="312"/>
      <c r="B641" s="76"/>
      <c r="C641" s="76"/>
      <c r="D641" s="324"/>
      <c r="E641" s="325"/>
      <c r="F641" s="325"/>
      <c r="G641" s="325"/>
      <c r="H641" s="325"/>
      <c r="I641" s="325"/>
      <c r="J641" s="325"/>
      <c r="K641" s="325"/>
      <c r="L641" s="325"/>
      <c r="M641" s="325"/>
      <c r="N641" s="303"/>
      <c r="O641" s="304"/>
      <c r="P641" s="312"/>
      <c r="Q641" s="312"/>
      <c r="R641" s="76"/>
      <c r="S641" s="307"/>
      <c r="T641" s="301"/>
      <c r="U641" s="301"/>
      <c r="V641" s="323"/>
      <c r="W641" s="259"/>
      <c r="Y641" s="260"/>
      <c r="AA641" s="259"/>
    </row>
    <row r="642" spans="1:27" s="258" customFormat="1">
      <c r="A642" s="312"/>
      <c r="B642" s="76"/>
      <c r="C642" s="76"/>
      <c r="D642" s="324"/>
      <c r="E642" s="325"/>
      <c r="F642" s="325"/>
      <c r="G642" s="325"/>
      <c r="H642" s="325"/>
      <c r="I642" s="325"/>
      <c r="J642" s="325"/>
      <c r="K642" s="325"/>
      <c r="L642" s="325"/>
      <c r="M642" s="325"/>
      <c r="N642" s="303"/>
      <c r="O642" s="304"/>
      <c r="P642" s="312"/>
      <c r="Q642" s="312"/>
      <c r="R642" s="76"/>
      <c r="S642" s="307"/>
      <c r="T642" s="301"/>
      <c r="U642" s="301"/>
      <c r="V642" s="323"/>
      <c r="W642" s="259"/>
      <c r="Y642" s="260"/>
      <c r="AA642" s="259"/>
    </row>
    <row r="643" spans="1:27" s="258" customFormat="1">
      <c r="A643" s="312"/>
      <c r="B643" s="76"/>
      <c r="C643" s="76"/>
      <c r="D643" s="324"/>
      <c r="E643" s="325"/>
      <c r="F643" s="325"/>
      <c r="G643" s="325"/>
      <c r="H643" s="325"/>
      <c r="I643" s="325"/>
      <c r="J643" s="325"/>
      <c r="K643" s="325"/>
      <c r="L643" s="325"/>
      <c r="M643" s="325"/>
      <c r="N643" s="303"/>
      <c r="O643" s="304"/>
      <c r="P643" s="312"/>
      <c r="Q643" s="312"/>
      <c r="R643" s="76"/>
      <c r="S643" s="307"/>
      <c r="T643" s="301"/>
      <c r="U643" s="301"/>
      <c r="V643" s="323"/>
      <c r="W643" s="259"/>
      <c r="Y643" s="260"/>
      <c r="AA643" s="259"/>
    </row>
    <row r="644" spans="1:27" s="258" customFormat="1" ht="17.45" customHeight="1">
      <c r="A644" s="312"/>
      <c r="B644" s="76"/>
      <c r="C644" s="76"/>
      <c r="D644" s="324"/>
      <c r="E644" s="325"/>
      <c r="F644" s="325"/>
      <c r="G644" s="325"/>
      <c r="H644" s="325"/>
      <c r="I644" s="325"/>
      <c r="J644" s="325"/>
      <c r="K644" s="325"/>
      <c r="L644" s="325"/>
      <c r="M644" s="325"/>
      <c r="N644" s="303"/>
      <c r="O644" s="304"/>
      <c r="P644" s="312"/>
      <c r="Q644" s="312"/>
      <c r="R644" s="76"/>
      <c r="S644" s="307"/>
      <c r="T644" s="301"/>
      <c r="U644" s="301"/>
      <c r="V644" s="323"/>
      <c r="W644" s="259"/>
      <c r="Y644" s="260"/>
      <c r="AA644" s="259"/>
    </row>
    <row r="645" spans="1:27" s="258" customFormat="1">
      <c r="A645" s="312"/>
      <c r="B645" s="76"/>
      <c r="C645" s="76"/>
      <c r="D645" s="324"/>
      <c r="E645" s="325"/>
      <c r="F645" s="325"/>
      <c r="G645" s="325"/>
      <c r="H645" s="325"/>
      <c r="I645" s="325"/>
      <c r="J645" s="325"/>
      <c r="K645" s="325"/>
      <c r="L645" s="325"/>
      <c r="M645" s="325"/>
      <c r="N645" s="303"/>
      <c r="O645" s="304"/>
      <c r="P645" s="312"/>
      <c r="Q645" s="312"/>
      <c r="R645" s="76"/>
      <c r="S645" s="307"/>
      <c r="T645" s="301"/>
      <c r="U645" s="301"/>
      <c r="V645" s="323"/>
      <c r="W645" s="259"/>
      <c r="Y645" s="260"/>
      <c r="AA645" s="259"/>
    </row>
    <row r="646" spans="1:27" s="258" customFormat="1">
      <c r="A646" s="312"/>
      <c r="B646" s="76"/>
      <c r="C646" s="76"/>
      <c r="D646" s="324"/>
      <c r="E646" s="325"/>
      <c r="F646" s="325"/>
      <c r="G646" s="325"/>
      <c r="H646" s="325"/>
      <c r="I646" s="325"/>
      <c r="J646" s="325"/>
      <c r="K646" s="325"/>
      <c r="L646" s="325"/>
      <c r="M646" s="325"/>
      <c r="N646" s="303"/>
      <c r="O646" s="304"/>
      <c r="P646" s="312"/>
      <c r="Q646" s="312"/>
      <c r="R646" s="76"/>
      <c r="S646" s="307"/>
      <c r="T646" s="301"/>
      <c r="U646" s="301"/>
      <c r="V646" s="323"/>
      <c r="W646" s="259"/>
      <c r="Y646" s="260"/>
      <c r="AA646" s="259"/>
    </row>
    <row r="647" spans="1:27" s="258" customFormat="1">
      <c r="A647" s="312"/>
      <c r="B647" s="76"/>
      <c r="C647" s="76"/>
      <c r="D647" s="324"/>
      <c r="E647" s="325"/>
      <c r="F647" s="325"/>
      <c r="G647" s="325"/>
      <c r="H647" s="325"/>
      <c r="I647" s="325"/>
      <c r="J647" s="325"/>
      <c r="K647" s="325"/>
      <c r="L647" s="325"/>
      <c r="M647" s="325"/>
      <c r="N647" s="303"/>
      <c r="O647" s="304"/>
      <c r="P647" s="312"/>
      <c r="Q647" s="312"/>
      <c r="R647" s="76"/>
      <c r="S647" s="307"/>
      <c r="T647" s="301"/>
      <c r="U647" s="301"/>
      <c r="V647" s="323"/>
      <c r="W647" s="259"/>
      <c r="Y647" s="260"/>
      <c r="AA647" s="259"/>
    </row>
    <row r="648" spans="1:27" s="258" customFormat="1">
      <c r="A648" s="312"/>
      <c r="B648" s="76"/>
      <c r="C648" s="76"/>
      <c r="D648" s="324"/>
      <c r="E648" s="325"/>
      <c r="F648" s="325"/>
      <c r="G648" s="325"/>
      <c r="H648" s="325"/>
      <c r="I648" s="325"/>
      <c r="J648" s="325"/>
      <c r="K648" s="325"/>
      <c r="L648" s="325"/>
      <c r="M648" s="325"/>
      <c r="N648" s="303"/>
      <c r="O648" s="304"/>
      <c r="P648" s="312"/>
      <c r="Q648" s="312"/>
      <c r="R648" s="76"/>
      <c r="S648" s="307"/>
      <c r="T648" s="301"/>
      <c r="U648" s="301"/>
      <c r="V648" s="323"/>
      <c r="W648" s="259"/>
      <c r="Y648" s="260"/>
      <c r="AA648" s="259"/>
    </row>
    <row r="649" spans="1:27" s="258" customFormat="1">
      <c r="A649" s="312"/>
      <c r="B649" s="76"/>
      <c r="C649" s="76"/>
      <c r="D649" s="324"/>
      <c r="E649" s="325"/>
      <c r="F649" s="325"/>
      <c r="G649" s="325"/>
      <c r="H649" s="325"/>
      <c r="I649" s="325"/>
      <c r="J649" s="325"/>
      <c r="K649" s="325"/>
      <c r="L649" s="325"/>
      <c r="M649" s="325"/>
      <c r="N649" s="303"/>
      <c r="O649" s="304"/>
      <c r="P649" s="312"/>
      <c r="Q649" s="312"/>
      <c r="R649" s="76"/>
      <c r="S649" s="307"/>
      <c r="T649" s="301"/>
      <c r="U649" s="301"/>
      <c r="V649" s="323"/>
      <c r="W649" s="259"/>
      <c r="Y649" s="260"/>
      <c r="AA649" s="259"/>
    </row>
    <row r="650" spans="1:27" s="258" customFormat="1">
      <c r="A650" s="312"/>
      <c r="B650" s="76"/>
      <c r="C650" s="76"/>
      <c r="D650" s="324"/>
      <c r="E650" s="325"/>
      <c r="F650" s="325"/>
      <c r="G650" s="325"/>
      <c r="H650" s="325"/>
      <c r="I650" s="325"/>
      <c r="J650" s="325"/>
      <c r="K650" s="325"/>
      <c r="L650" s="325"/>
      <c r="M650" s="325"/>
      <c r="N650" s="303"/>
      <c r="O650" s="304"/>
      <c r="P650" s="312"/>
      <c r="Q650" s="312"/>
      <c r="R650" s="76"/>
      <c r="S650" s="307"/>
      <c r="T650" s="301"/>
      <c r="U650" s="301"/>
      <c r="V650" s="323"/>
      <c r="W650" s="259"/>
      <c r="Y650" s="260"/>
      <c r="AA650" s="259"/>
    </row>
    <row r="651" spans="1:27" s="258" customFormat="1">
      <c r="A651" s="312"/>
      <c r="B651" s="76"/>
      <c r="C651" s="76"/>
      <c r="D651" s="324"/>
      <c r="E651" s="325"/>
      <c r="F651" s="325"/>
      <c r="G651" s="325"/>
      <c r="H651" s="325"/>
      <c r="I651" s="325"/>
      <c r="J651" s="325"/>
      <c r="K651" s="325"/>
      <c r="L651" s="325"/>
      <c r="M651" s="325"/>
      <c r="N651" s="303"/>
      <c r="O651" s="304"/>
      <c r="P651" s="312"/>
      <c r="Q651" s="312"/>
      <c r="R651" s="76"/>
      <c r="S651" s="307"/>
      <c r="T651" s="301"/>
      <c r="U651" s="301"/>
      <c r="V651" s="323"/>
      <c r="W651" s="259"/>
      <c r="Y651" s="260"/>
      <c r="AA651" s="259"/>
    </row>
    <row r="652" spans="1:27" s="258" customFormat="1">
      <c r="A652" s="312"/>
      <c r="B652" s="76"/>
      <c r="C652" s="76"/>
      <c r="D652" s="324"/>
      <c r="E652" s="325"/>
      <c r="F652" s="325"/>
      <c r="G652" s="325"/>
      <c r="H652" s="325"/>
      <c r="I652" s="325"/>
      <c r="J652" s="325"/>
      <c r="K652" s="325"/>
      <c r="L652" s="325"/>
      <c r="M652" s="325"/>
      <c r="N652" s="303"/>
      <c r="O652" s="304"/>
      <c r="P652" s="312"/>
      <c r="Q652" s="312"/>
      <c r="R652" s="76"/>
      <c r="S652" s="307"/>
      <c r="T652" s="301"/>
      <c r="U652" s="301"/>
      <c r="V652" s="323"/>
      <c r="W652" s="259"/>
      <c r="Y652" s="260"/>
      <c r="AA652" s="259"/>
    </row>
    <row r="653" spans="1:27" s="258" customFormat="1">
      <c r="A653" s="312"/>
      <c r="B653" s="76"/>
      <c r="C653" s="76"/>
      <c r="D653" s="324"/>
      <c r="E653" s="325"/>
      <c r="F653" s="325"/>
      <c r="G653" s="325"/>
      <c r="H653" s="325"/>
      <c r="I653" s="325"/>
      <c r="J653" s="325"/>
      <c r="K653" s="325"/>
      <c r="L653" s="325"/>
      <c r="M653" s="325"/>
      <c r="N653" s="303"/>
      <c r="O653" s="304"/>
      <c r="P653" s="312"/>
      <c r="Q653" s="312"/>
      <c r="R653" s="76"/>
      <c r="S653" s="307"/>
      <c r="T653" s="301"/>
      <c r="U653" s="301"/>
      <c r="V653" s="323"/>
      <c r="W653" s="259"/>
      <c r="Y653" s="260"/>
      <c r="AA653" s="259"/>
    </row>
    <row r="654" spans="1:27" s="258" customFormat="1">
      <c r="A654" s="312"/>
      <c r="B654" s="76"/>
      <c r="C654" s="76"/>
      <c r="D654" s="324"/>
      <c r="E654" s="325"/>
      <c r="F654" s="325"/>
      <c r="G654" s="325"/>
      <c r="H654" s="325"/>
      <c r="I654" s="325"/>
      <c r="J654" s="325"/>
      <c r="K654" s="325"/>
      <c r="L654" s="325"/>
      <c r="M654" s="325"/>
      <c r="N654" s="303"/>
      <c r="O654" s="304"/>
      <c r="P654" s="312"/>
      <c r="Q654" s="312"/>
      <c r="R654" s="76"/>
      <c r="S654" s="307"/>
      <c r="T654" s="301"/>
      <c r="U654" s="301"/>
      <c r="V654" s="323"/>
      <c r="W654" s="259"/>
      <c r="Y654" s="260"/>
      <c r="AA654" s="259"/>
    </row>
    <row r="655" spans="1:27" s="258" customFormat="1">
      <c r="A655" s="312"/>
      <c r="B655" s="76"/>
      <c r="C655" s="76"/>
      <c r="D655" s="324"/>
      <c r="E655" s="325"/>
      <c r="F655" s="325"/>
      <c r="G655" s="325"/>
      <c r="H655" s="325"/>
      <c r="I655" s="325"/>
      <c r="J655" s="325"/>
      <c r="K655" s="325"/>
      <c r="L655" s="325"/>
      <c r="M655" s="325"/>
      <c r="N655" s="303"/>
      <c r="O655" s="304"/>
      <c r="P655" s="312"/>
      <c r="Q655" s="312"/>
      <c r="R655" s="76"/>
      <c r="S655" s="307"/>
      <c r="T655" s="301"/>
      <c r="U655" s="301"/>
      <c r="V655" s="323"/>
      <c r="W655" s="259"/>
      <c r="Y655" s="260"/>
      <c r="AA655" s="259"/>
    </row>
    <row r="656" spans="1:27" s="258" customFormat="1">
      <c r="A656" s="312"/>
      <c r="B656" s="76"/>
      <c r="C656" s="76"/>
      <c r="D656" s="324"/>
      <c r="E656" s="325"/>
      <c r="F656" s="325"/>
      <c r="G656" s="325"/>
      <c r="H656" s="325"/>
      <c r="I656" s="325"/>
      <c r="J656" s="325"/>
      <c r="K656" s="325"/>
      <c r="L656" s="325"/>
      <c r="M656" s="325"/>
      <c r="N656" s="303"/>
      <c r="O656" s="304"/>
      <c r="P656" s="312"/>
      <c r="Q656" s="312"/>
      <c r="R656" s="76"/>
      <c r="S656" s="307"/>
      <c r="T656" s="301"/>
      <c r="U656" s="301"/>
      <c r="V656" s="323"/>
      <c r="W656" s="259"/>
      <c r="Y656" s="260"/>
      <c r="AA656" s="259"/>
    </row>
    <row r="657" spans="1:27" s="258" customFormat="1">
      <c r="A657" s="312"/>
      <c r="B657" s="76"/>
      <c r="C657" s="76"/>
      <c r="D657" s="324"/>
      <c r="E657" s="325"/>
      <c r="F657" s="325"/>
      <c r="G657" s="325"/>
      <c r="H657" s="325"/>
      <c r="I657" s="325"/>
      <c r="J657" s="325"/>
      <c r="K657" s="325"/>
      <c r="L657" s="325"/>
      <c r="M657" s="325"/>
      <c r="N657" s="303"/>
      <c r="O657" s="304"/>
      <c r="P657" s="312"/>
      <c r="Q657" s="312"/>
      <c r="R657" s="76"/>
      <c r="S657" s="307"/>
      <c r="T657" s="301"/>
      <c r="U657" s="301"/>
      <c r="V657" s="323"/>
      <c r="W657" s="259"/>
      <c r="Y657" s="260"/>
      <c r="AA657" s="259"/>
    </row>
    <row r="658" spans="1:27" s="258" customFormat="1">
      <c r="A658" s="312"/>
      <c r="B658" s="76"/>
      <c r="C658" s="76"/>
      <c r="D658" s="324"/>
      <c r="E658" s="325"/>
      <c r="F658" s="325"/>
      <c r="G658" s="325"/>
      <c r="H658" s="325"/>
      <c r="I658" s="325"/>
      <c r="J658" s="325"/>
      <c r="K658" s="325"/>
      <c r="L658" s="325"/>
      <c r="M658" s="325"/>
      <c r="N658" s="303"/>
      <c r="O658" s="304"/>
      <c r="P658" s="312"/>
      <c r="Q658" s="312"/>
      <c r="R658" s="76"/>
      <c r="S658" s="307"/>
      <c r="T658" s="301"/>
      <c r="U658" s="301"/>
      <c r="V658" s="323"/>
      <c r="W658" s="259"/>
      <c r="Y658" s="260"/>
      <c r="AA658" s="259"/>
    </row>
    <row r="659" spans="1:27" s="258" customFormat="1">
      <c r="A659" s="312"/>
      <c r="B659" s="76"/>
      <c r="C659" s="76"/>
      <c r="D659" s="324"/>
      <c r="E659" s="325"/>
      <c r="F659" s="325"/>
      <c r="G659" s="325"/>
      <c r="H659" s="325"/>
      <c r="I659" s="325"/>
      <c r="J659" s="325"/>
      <c r="K659" s="325"/>
      <c r="L659" s="325"/>
      <c r="M659" s="325"/>
      <c r="N659" s="303"/>
      <c r="O659" s="304"/>
      <c r="P659" s="312"/>
      <c r="Q659" s="312"/>
      <c r="R659" s="76"/>
      <c r="S659" s="307"/>
      <c r="T659" s="301"/>
      <c r="U659" s="301"/>
      <c r="V659" s="323"/>
      <c r="W659" s="259"/>
      <c r="Y659" s="260"/>
      <c r="AA659" s="259"/>
    </row>
    <row r="660" spans="1:27" s="258" customFormat="1">
      <c r="A660" s="312"/>
      <c r="B660" s="76"/>
      <c r="C660" s="76"/>
      <c r="D660" s="324"/>
      <c r="E660" s="325"/>
      <c r="F660" s="325"/>
      <c r="G660" s="325"/>
      <c r="H660" s="325"/>
      <c r="I660" s="325"/>
      <c r="J660" s="325"/>
      <c r="K660" s="325"/>
      <c r="L660" s="325"/>
      <c r="M660" s="325"/>
      <c r="N660" s="303"/>
      <c r="O660" s="304"/>
      <c r="P660" s="312"/>
      <c r="Q660" s="312"/>
      <c r="R660" s="76"/>
      <c r="S660" s="307"/>
      <c r="T660" s="301"/>
      <c r="U660" s="301"/>
      <c r="V660" s="323"/>
      <c r="W660" s="259"/>
      <c r="Y660" s="260"/>
      <c r="AA660" s="259"/>
    </row>
    <row r="661" spans="1:27" s="258" customFormat="1">
      <c r="A661" s="312"/>
      <c r="B661" s="76"/>
      <c r="C661" s="76"/>
      <c r="D661" s="324"/>
      <c r="E661" s="325"/>
      <c r="F661" s="325"/>
      <c r="G661" s="325"/>
      <c r="H661" s="325"/>
      <c r="I661" s="325"/>
      <c r="J661" s="325"/>
      <c r="K661" s="325"/>
      <c r="L661" s="325"/>
      <c r="M661" s="325"/>
      <c r="N661" s="303"/>
      <c r="O661" s="304"/>
      <c r="P661" s="312"/>
      <c r="Q661" s="312"/>
      <c r="R661" s="76"/>
      <c r="S661" s="307"/>
      <c r="T661" s="301"/>
      <c r="U661" s="301"/>
      <c r="V661" s="323"/>
      <c r="W661" s="259"/>
      <c r="Y661" s="260"/>
      <c r="AA661" s="259"/>
    </row>
    <row r="662" spans="1:27" s="258" customFormat="1">
      <c r="A662" s="312"/>
      <c r="B662" s="76"/>
      <c r="C662" s="76"/>
      <c r="D662" s="324"/>
      <c r="E662" s="325"/>
      <c r="F662" s="325"/>
      <c r="G662" s="325"/>
      <c r="H662" s="325"/>
      <c r="I662" s="325"/>
      <c r="J662" s="325"/>
      <c r="K662" s="325"/>
      <c r="L662" s="325"/>
      <c r="M662" s="325"/>
      <c r="N662" s="303"/>
      <c r="O662" s="304"/>
      <c r="P662" s="312"/>
      <c r="Q662" s="312"/>
      <c r="R662" s="76"/>
      <c r="S662" s="307"/>
      <c r="T662" s="301"/>
      <c r="U662" s="301"/>
      <c r="V662" s="323"/>
      <c r="W662" s="259"/>
      <c r="Y662" s="260"/>
      <c r="AA662" s="259"/>
    </row>
    <row r="663" spans="1:27" s="258" customFormat="1">
      <c r="A663" s="312"/>
      <c r="B663" s="76"/>
      <c r="C663" s="76"/>
      <c r="D663" s="324"/>
      <c r="E663" s="325"/>
      <c r="F663" s="325"/>
      <c r="G663" s="325"/>
      <c r="H663" s="325"/>
      <c r="I663" s="325"/>
      <c r="J663" s="325"/>
      <c r="K663" s="325"/>
      <c r="L663" s="325"/>
      <c r="M663" s="325"/>
      <c r="N663" s="303"/>
      <c r="O663" s="304"/>
      <c r="P663" s="312"/>
      <c r="Q663" s="312"/>
      <c r="R663" s="76"/>
      <c r="S663" s="307"/>
      <c r="T663" s="301"/>
      <c r="U663" s="301"/>
      <c r="V663" s="323"/>
      <c r="W663" s="259"/>
      <c r="Y663" s="260"/>
      <c r="AA663" s="259"/>
    </row>
    <row r="664" spans="1:27" s="258" customFormat="1">
      <c r="A664" s="312"/>
      <c r="B664" s="76"/>
      <c r="C664" s="76"/>
      <c r="D664" s="324"/>
      <c r="E664" s="325"/>
      <c r="F664" s="325"/>
      <c r="G664" s="325"/>
      <c r="H664" s="325"/>
      <c r="I664" s="325"/>
      <c r="J664" s="325"/>
      <c r="K664" s="325"/>
      <c r="L664" s="325"/>
      <c r="M664" s="325"/>
      <c r="N664" s="303"/>
      <c r="O664" s="304"/>
      <c r="P664" s="312"/>
      <c r="Q664" s="312"/>
      <c r="R664" s="76"/>
      <c r="S664" s="307"/>
      <c r="T664" s="301"/>
      <c r="U664" s="301"/>
      <c r="V664" s="323"/>
      <c r="W664" s="259"/>
      <c r="Y664" s="260"/>
      <c r="AA664" s="259"/>
    </row>
    <row r="665" spans="1:27" s="258" customFormat="1">
      <c r="A665" s="312"/>
      <c r="B665" s="76"/>
      <c r="C665" s="76"/>
      <c r="D665" s="324"/>
      <c r="E665" s="325"/>
      <c r="F665" s="325"/>
      <c r="G665" s="325"/>
      <c r="H665" s="325"/>
      <c r="I665" s="325"/>
      <c r="J665" s="325"/>
      <c r="K665" s="325"/>
      <c r="L665" s="325"/>
      <c r="M665" s="325"/>
      <c r="N665" s="303"/>
      <c r="O665" s="304"/>
      <c r="P665" s="312"/>
      <c r="Q665" s="312"/>
      <c r="R665" s="76"/>
      <c r="S665" s="307"/>
      <c r="T665" s="301"/>
      <c r="U665" s="301"/>
      <c r="V665" s="323"/>
      <c r="W665" s="259"/>
      <c r="Y665" s="260"/>
      <c r="AA665" s="259"/>
    </row>
    <row r="666" spans="1:27" s="258" customFormat="1">
      <c r="A666" s="312"/>
      <c r="B666" s="76"/>
      <c r="C666" s="76"/>
      <c r="D666" s="324"/>
      <c r="E666" s="325"/>
      <c r="F666" s="325"/>
      <c r="G666" s="325"/>
      <c r="H666" s="325"/>
      <c r="I666" s="325"/>
      <c r="J666" s="325"/>
      <c r="K666" s="325"/>
      <c r="L666" s="325"/>
      <c r="M666" s="325"/>
      <c r="N666" s="303"/>
      <c r="O666" s="304"/>
      <c r="P666" s="312"/>
      <c r="Q666" s="312"/>
      <c r="R666" s="76"/>
      <c r="S666" s="307"/>
      <c r="T666" s="301"/>
      <c r="U666" s="301"/>
      <c r="V666" s="323"/>
      <c r="W666" s="259"/>
      <c r="Y666" s="260"/>
      <c r="AA666" s="259"/>
    </row>
    <row r="667" spans="1:27" s="258" customFormat="1">
      <c r="A667" s="312"/>
      <c r="B667" s="76"/>
      <c r="C667" s="76"/>
      <c r="D667" s="324"/>
      <c r="E667" s="325"/>
      <c r="F667" s="325"/>
      <c r="G667" s="325"/>
      <c r="H667" s="325"/>
      <c r="I667" s="325"/>
      <c r="J667" s="325"/>
      <c r="K667" s="325"/>
      <c r="L667" s="325"/>
      <c r="M667" s="325"/>
      <c r="N667" s="303"/>
      <c r="O667" s="304"/>
      <c r="P667" s="312"/>
      <c r="Q667" s="312"/>
      <c r="R667" s="76"/>
      <c r="S667" s="307"/>
      <c r="T667" s="301"/>
      <c r="U667" s="301"/>
      <c r="V667" s="323"/>
      <c r="W667" s="259"/>
      <c r="Y667" s="260"/>
      <c r="AA667" s="259"/>
    </row>
    <row r="668" spans="1:27" s="258" customFormat="1">
      <c r="A668" s="312"/>
      <c r="B668" s="76"/>
      <c r="C668" s="76"/>
      <c r="D668" s="324"/>
      <c r="E668" s="325"/>
      <c r="F668" s="325"/>
      <c r="G668" s="325"/>
      <c r="H668" s="325"/>
      <c r="I668" s="325"/>
      <c r="J668" s="325"/>
      <c r="K668" s="325"/>
      <c r="L668" s="325"/>
      <c r="M668" s="325"/>
      <c r="N668" s="303"/>
      <c r="O668" s="304"/>
      <c r="P668" s="312"/>
      <c r="Q668" s="312"/>
      <c r="R668" s="76"/>
      <c r="S668" s="307"/>
      <c r="T668" s="301"/>
      <c r="U668" s="301"/>
      <c r="V668" s="323"/>
      <c r="W668" s="259"/>
      <c r="Y668" s="260"/>
      <c r="AA668" s="259"/>
    </row>
    <row r="669" spans="1:27" s="258" customFormat="1">
      <c r="A669" s="312"/>
      <c r="B669" s="76"/>
      <c r="C669" s="76"/>
      <c r="D669" s="324"/>
      <c r="E669" s="325"/>
      <c r="F669" s="325"/>
      <c r="G669" s="325"/>
      <c r="H669" s="325"/>
      <c r="I669" s="325"/>
      <c r="J669" s="325"/>
      <c r="K669" s="325"/>
      <c r="L669" s="325"/>
      <c r="M669" s="325"/>
      <c r="N669" s="303"/>
      <c r="O669" s="304"/>
      <c r="P669" s="312"/>
      <c r="Q669" s="312"/>
      <c r="R669" s="76"/>
      <c r="S669" s="307"/>
      <c r="T669" s="301"/>
      <c r="U669" s="301"/>
      <c r="V669" s="323"/>
      <c r="W669" s="259"/>
      <c r="Y669" s="260"/>
      <c r="AA669" s="259"/>
    </row>
    <row r="670" spans="1:27" s="258" customFormat="1">
      <c r="A670" s="312"/>
      <c r="B670" s="76"/>
      <c r="C670" s="76"/>
      <c r="D670" s="324"/>
      <c r="E670" s="325"/>
      <c r="F670" s="325"/>
      <c r="G670" s="325"/>
      <c r="H670" s="325"/>
      <c r="I670" s="325"/>
      <c r="J670" s="325"/>
      <c r="K670" s="325"/>
      <c r="L670" s="325"/>
      <c r="M670" s="325"/>
      <c r="N670" s="303"/>
      <c r="O670" s="304"/>
      <c r="P670" s="312"/>
      <c r="Q670" s="312"/>
      <c r="R670" s="76"/>
      <c r="S670" s="307"/>
      <c r="T670" s="301"/>
      <c r="U670" s="301"/>
      <c r="V670" s="323"/>
      <c r="W670" s="259"/>
      <c r="Y670" s="260"/>
      <c r="AA670" s="259"/>
    </row>
    <row r="671" spans="1:27" s="258" customFormat="1">
      <c r="A671" s="312"/>
      <c r="B671" s="76"/>
      <c r="C671" s="76"/>
      <c r="D671" s="324"/>
      <c r="E671" s="325"/>
      <c r="F671" s="325"/>
      <c r="G671" s="325"/>
      <c r="H671" s="325"/>
      <c r="I671" s="325"/>
      <c r="J671" s="325"/>
      <c r="K671" s="325"/>
      <c r="L671" s="325"/>
      <c r="M671" s="325"/>
      <c r="N671" s="303"/>
      <c r="O671" s="304"/>
      <c r="P671" s="312"/>
      <c r="Q671" s="312"/>
      <c r="R671" s="76"/>
      <c r="S671" s="307"/>
      <c r="T671" s="301"/>
      <c r="U671" s="301"/>
      <c r="V671" s="323"/>
      <c r="W671" s="259"/>
      <c r="Y671" s="260"/>
      <c r="AA671" s="259"/>
    </row>
    <row r="672" spans="1:27" s="258" customFormat="1">
      <c r="A672" s="312"/>
      <c r="B672" s="76"/>
      <c r="C672" s="76"/>
      <c r="D672" s="324"/>
      <c r="E672" s="325"/>
      <c r="F672" s="325"/>
      <c r="G672" s="325"/>
      <c r="H672" s="325"/>
      <c r="I672" s="325"/>
      <c r="J672" s="325"/>
      <c r="K672" s="325"/>
      <c r="L672" s="325"/>
      <c r="M672" s="325"/>
      <c r="N672" s="303"/>
      <c r="O672" s="304"/>
      <c r="P672" s="312"/>
      <c r="Q672" s="312"/>
      <c r="R672" s="76"/>
      <c r="S672" s="307"/>
      <c r="T672" s="301"/>
      <c r="U672" s="301"/>
      <c r="V672" s="323"/>
      <c r="W672" s="259"/>
      <c r="Y672" s="260"/>
      <c r="AA672" s="259"/>
    </row>
    <row r="673" spans="1:27" s="258" customFormat="1">
      <c r="A673" s="312"/>
      <c r="B673" s="76"/>
      <c r="C673" s="76"/>
      <c r="D673" s="324"/>
      <c r="E673" s="325"/>
      <c r="F673" s="325"/>
      <c r="G673" s="325"/>
      <c r="H673" s="325"/>
      <c r="I673" s="325"/>
      <c r="J673" s="325"/>
      <c r="K673" s="325"/>
      <c r="L673" s="325"/>
      <c r="M673" s="325"/>
      <c r="N673" s="303"/>
      <c r="O673" s="304"/>
      <c r="P673" s="312"/>
      <c r="Q673" s="312"/>
      <c r="R673" s="76"/>
      <c r="S673" s="307"/>
      <c r="T673" s="301"/>
      <c r="U673" s="301"/>
      <c r="V673" s="323"/>
      <c r="W673" s="259"/>
      <c r="Y673" s="260"/>
      <c r="AA673" s="259"/>
    </row>
    <row r="674" spans="1:27" s="258" customFormat="1">
      <c r="A674" s="312"/>
      <c r="B674" s="76"/>
      <c r="C674" s="76"/>
      <c r="D674" s="324"/>
      <c r="E674" s="325"/>
      <c r="F674" s="325"/>
      <c r="G674" s="325"/>
      <c r="H674" s="325"/>
      <c r="I674" s="325"/>
      <c r="J674" s="325"/>
      <c r="K674" s="325"/>
      <c r="L674" s="325"/>
      <c r="M674" s="325"/>
      <c r="N674" s="303"/>
      <c r="O674" s="304"/>
      <c r="P674" s="312"/>
      <c r="Q674" s="312"/>
      <c r="R674" s="76"/>
      <c r="S674" s="307"/>
      <c r="T674" s="301"/>
      <c r="U674" s="301"/>
      <c r="V674" s="323"/>
      <c r="W674" s="259"/>
      <c r="Y674" s="260"/>
      <c r="AA674" s="259"/>
    </row>
    <row r="675" spans="1:27" s="258" customFormat="1">
      <c r="A675" s="312"/>
      <c r="B675" s="76"/>
      <c r="C675" s="76"/>
      <c r="D675" s="324"/>
      <c r="E675" s="325"/>
      <c r="F675" s="325"/>
      <c r="G675" s="325"/>
      <c r="H675" s="325"/>
      <c r="I675" s="325"/>
      <c r="J675" s="325"/>
      <c r="K675" s="325"/>
      <c r="L675" s="325"/>
      <c r="M675" s="325"/>
      <c r="N675" s="303"/>
      <c r="O675" s="304"/>
      <c r="P675" s="312"/>
      <c r="Q675" s="312"/>
      <c r="R675" s="76"/>
      <c r="S675" s="307"/>
      <c r="T675" s="301"/>
      <c r="U675" s="301"/>
      <c r="V675" s="323"/>
      <c r="W675" s="259"/>
      <c r="Y675" s="260"/>
      <c r="AA675" s="259"/>
    </row>
    <row r="676" spans="1:27" s="258" customFormat="1">
      <c r="A676" s="312"/>
      <c r="B676" s="76"/>
      <c r="C676" s="76"/>
      <c r="D676" s="324"/>
      <c r="E676" s="325"/>
      <c r="F676" s="325"/>
      <c r="G676" s="325"/>
      <c r="H676" s="325"/>
      <c r="I676" s="325"/>
      <c r="J676" s="325"/>
      <c r="K676" s="325"/>
      <c r="L676" s="325"/>
      <c r="M676" s="325"/>
      <c r="N676" s="303"/>
      <c r="O676" s="304"/>
      <c r="P676" s="312"/>
      <c r="Q676" s="312"/>
      <c r="R676" s="76"/>
      <c r="S676" s="307"/>
      <c r="T676" s="301"/>
      <c r="U676" s="301"/>
      <c r="V676" s="323"/>
      <c r="W676" s="259"/>
      <c r="Y676" s="260"/>
      <c r="AA676" s="259"/>
    </row>
    <row r="677" spans="1:27" s="258" customFormat="1">
      <c r="A677" s="312"/>
      <c r="B677" s="76"/>
      <c r="C677" s="76"/>
      <c r="D677" s="324"/>
      <c r="E677" s="325"/>
      <c r="F677" s="325"/>
      <c r="G677" s="325"/>
      <c r="H677" s="325"/>
      <c r="I677" s="325"/>
      <c r="J677" s="325"/>
      <c r="K677" s="325"/>
      <c r="L677" s="325"/>
      <c r="M677" s="325"/>
      <c r="N677" s="303"/>
      <c r="O677" s="304"/>
      <c r="P677" s="312"/>
      <c r="Q677" s="312"/>
      <c r="R677" s="76"/>
      <c r="S677" s="307"/>
      <c r="T677" s="301"/>
      <c r="U677" s="301"/>
      <c r="V677" s="323"/>
      <c r="W677" s="259"/>
      <c r="Y677" s="260"/>
      <c r="AA677" s="259"/>
    </row>
    <row r="678" spans="1:27" s="258" customFormat="1">
      <c r="A678" s="312"/>
      <c r="B678" s="76"/>
      <c r="C678" s="76"/>
      <c r="D678" s="324"/>
      <c r="E678" s="325"/>
      <c r="F678" s="325"/>
      <c r="G678" s="325"/>
      <c r="H678" s="325"/>
      <c r="I678" s="325"/>
      <c r="J678" s="325"/>
      <c r="K678" s="325"/>
      <c r="L678" s="325"/>
      <c r="M678" s="325"/>
      <c r="N678" s="303"/>
      <c r="O678" s="304"/>
      <c r="P678" s="312"/>
      <c r="Q678" s="312"/>
      <c r="R678" s="76"/>
      <c r="S678" s="307"/>
      <c r="T678" s="301"/>
      <c r="U678" s="301"/>
      <c r="V678" s="323"/>
      <c r="W678" s="259"/>
      <c r="Y678" s="260"/>
      <c r="AA678" s="259"/>
    </row>
    <row r="679" spans="1:27" s="258" customFormat="1">
      <c r="A679" s="312"/>
      <c r="B679" s="76"/>
      <c r="C679" s="76"/>
      <c r="D679" s="324"/>
      <c r="E679" s="325"/>
      <c r="F679" s="325"/>
      <c r="G679" s="325"/>
      <c r="H679" s="325"/>
      <c r="I679" s="325"/>
      <c r="J679" s="325"/>
      <c r="K679" s="325"/>
      <c r="L679" s="325"/>
      <c r="M679" s="325"/>
      <c r="N679" s="303"/>
      <c r="O679" s="304"/>
      <c r="P679" s="312"/>
      <c r="Q679" s="312"/>
      <c r="R679" s="76"/>
      <c r="S679" s="307"/>
      <c r="T679" s="301"/>
      <c r="U679" s="301"/>
      <c r="V679" s="323"/>
      <c r="W679" s="259"/>
      <c r="Y679" s="260"/>
      <c r="AA679" s="259"/>
    </row>
    <row r="680" spans="1:27" s="258" customFormat="1">
      <c r="A680" s="312"/>
      <c r="B680" s="76"/>
      <c r="C680" s="76"/>
      <c r="D680" s="324"/>
      <c r="E680" s="325"/>
      <c r="F680" s="325"/>
      <c r="G680" s="325"/>
      <c r="H680" s="325"/>
      <c r="I680" s="325"/>
      <c r="J680" s="325"/>
      <c r="K680" s="325"/>
      <c r="L680" s="325"/>
      <c r="M680" s="325"/>
      <c r="N680" s="303"/>
      <c r="O680" s="304"/>
      <c r="P680" s="312"/>
      <c r="Q680" s="312"/>
      <c r="R680" s="76"/>
      <c r="S680" s="307"/>
      <c r="T680" s="301"/>
      <c r="U680" s="301"/>
      <c r="V680" s="323"/>
      <c r="W680" s="259"/>
      <c r="Y680" s="260"/>
      <c r="AA680" s="259"/>
    </row>
    <row r="681" spans="1:27" s="258" customFormat="1">
      <c r="A681" s="312"/>
      <c r="B681" s="76"/>
      <c r="C681" s="76"/>
      <c r="D681" s="324"/>
      <c r="E681" s="325"/>
      <c r="F681" s="325"/>
      <c r="G681" s="325"/>
      <c r="H681" s="325"/>
      <c r="I681" s="325"/>
      <c r="J681" s="325"/>
      <c r="K681" s="325"/>
      <c r="L681" s="325"/>
      <c r="M681" s="325"/>
      <c r="N681" s="303"/>
      <c r="O681" s="304"/>
      <c r="P681" s="312"/>
      <c r="Q681" s="312"/>
      <c r="R681" s="76"/>
      <c r="S681" s="307"/>
      <c r="T681" s="301"/>
      <c r="U681" s="301"/>
      <c r="V681" s="323"/>
      <c r="W681" s="259"/>
      <c r="Y681" s="260"/>
      <c r="AA681" s="259"/>
    </row>
    <row r="682" spans="1:27" s="258" customFormat="1">
      <c r="A682" s="312"/>
      <c r="B682" s="76"/>
      <c r="C682" s="76"/>
      <c r="D682" s="324"/>
      <c r="E682" s="325"/>
      <c r="F682" s="325"/>
      <c r="G682" s="325"/>
      <c r="H682" s="325"/>
      <c r="I682" s="325"/>
      <c r="J682" s="325"/>
      <c r="K682" s="325"/>
      <c r="L682" s="325"/>
      <c r="M682" s="325"/>
      <c r="N682" s="303"/>
      <c r="O682" s="304"/>
      <c r="P682" s="312"/>
      <c r="Q682" s="312"/>
      <c r="R682" s="76"/>
      <c r="S682" s="307"/>
      <c r="T682" s="301"/>
      <c r="U682" s="301"/>
      <c r="V682" s="323"/>
      <c r="W682" s="259"/>
      <c r="Y682" s="260"/>
      <c r="AA682" s="259"/>
    </row>
    <row r="683" spans="1:27" s="258" customFormat="1">
      <c r="A683" s="312"/>
      <c r="B683" s="76"/>
      <c r="C683" s="76"/>
      <c r="D683" s="324"/>
      <c r="E683" s="325"/>
      <c r="F683" s="325"/>
      <c r="G683" s="325"/>
      <c r="H683" s="325"/>
      <c r="I683" s="325"/>
      <c r="J683" s="325"/>
      <c r="K683" s="325"/>
      <c r="L683" s="325"/>
      <c r="M683" s="325"/>
      <c r="N683" s="303"/>
      <c r="O683" s="304"/>
      <c r="P683" s="312"/>
      <c r="Q683" s="312"/>
      <c r="R683" s="76"/>
      <c r="S683" s="307"/>
      <c r="T683" s="301"/>
      <c r="U683" s="301"/>
      <c r="V683" s="323"/>
      <c r="W683" s="259"/>
      <c r="Y683" s="260"/>
      <c r="AA683" s="259"/>
    </row>
    <row r="684" spans="1:27" s="258" customFormat="1">
      <c r="A684" s="312"/>
      <c r="B684" s="76"/>
      <c r="C684" s="76"/>
      <c r="D684" s="324"/>
      <c r="E684" s="325"/>
      <c r="F684" s="325"/>
      <c r="G684" s="325"/>
      <c r="H684" s="325"/>
      <c r="I684" s="325"/>
      <c r="J684" s="325"/>
      <c r="K684" s="325"/>
      <c r="L684" s="325"/>
      <c r="M684" s="325"/>
      <c r="N684" s="303"/>
      <c r="O684" s="304"/>
      <c r="P684" s="312"/>
      <c r="Q684" s="312"/>
      <c r="R684" s="76"/>
      <c r="S684" s="307"/>
      <c r="T684" s="301"/>
      <c r="U684" s="301"/>
      <c r="V684" s="323"/>
      <c r="W684" s="259"/>
      <c r="Y684" s="260"/>
      <c r="AA684" s="259"/>
    </row>
    <row r="685" spans="1:27" s="258" customFormat="1">
      <c r="A685" s="312"/>
      <c r="B685" s="76"/>
      <c r="C685" s="76"/>
      <c r="D685" s="324"/>
      <c r="E685" s="325"/>
      <c r="F685" s="325"/>
      <c r="G685" s="325"/>
      <c r="H685" s="325"/>
      <c r="I685" s="325"/>
      <c r="J685" s="325"/>
      <c r="K685" s="325"/>
      <c r="L685" s="325"/>
      <c r="M685" s="325"/>
      <c r="N685" s="303"/>
      <c r="O685" s="304"/>
      <c r="P685" s="312"/>
      <c r="Q685" s="312"/>
      <c r="R685" s="76"/>
      <c r="S685" s="307"/>
      <c r="T685" s="301"/>
      <c r="U685" s="301"/>
      <c r="V685" s="323"/>
      <c r="W685" s="259"/>
      <c r="Y685" s="260"/>
      <c r="AA685" s="259"/>
    </row>
    <row r="686" spans="1:27" s="258" customFormat="1">
      <c r="A686" s="312"/>
      <c r="B686" s="76"/>
      <c r="C686" s="76"/>
      <c r="D686" s="324"/>
      <c r="E686" s="325"/>
      <c r="F686" s="325"/>
      <c r="G686" s="325"/>
      <c r="H686" s="325"/>
      <c r="I686" s="325"/>
      <c r="J686" s="325"/>
      <c r="K686" s="325"/>
      <c r="L686" s="325"/>
      <c r="M686" s="325"/>
      <c r="N686" s="303"/>
      <c r="O686" s="304"/>
      <c r="P686" s="312"/>
      <c r="Q686" s="312"/>
      <c r="R686" s="76"/>
      <c r="S686" s="307"/>
      <c r="T686" s="301"/>
      <c r="U686" s="301"/>
      <c r="V686" s="323"/>
      <c r="W686" s="259"/>
      <c r="Y686" s="260"/>
      <c r="AA686" s="259"/>
    </row>
    <row r="687" spans="1:27" s="258" customFormat="1">
      <c r="A687" s="312"/>
      <c r="B687" s="76"/>
      <c r="C687" s="76"/>
      <c r="D687" s="324"/>
      <c r="E687" s="325"/>
      <c r="F687" s="325"/>
      <c r="G687" s="325"/>
      <c r="H687" s="325"/>
      <c r="I687" s="325"/>
      <c r="J687" s="325"/>
      <c r="K687" s="325"/>
      <c r="L687" s="325"/>
      <c r="M687" s="325"/>
      <c r="N687" s="303"/>
      <c r="O687" s="304"/>
      <c r="P687" s="312"/>
      <c r="Q687" s="312"/>
      <c r="R687" s="76"/>
      <c r="S687" s="307"/>
      <c r="T687" s="301"/>
      <c r="U687" s="301"/>
      <c r="V687" s="323"/>
      <c r="W687" s="259"/>
      <c r="Y687" s="260"/>
      <c r="AA687" s="259"/>
    </row>
    <row r="688" spans="1:27" s="258" customFormat="1">
      <c r="A688" s="312"/>
      <c r="B688" s="76"/>
      <c r="C688" s="76"/>
      <c r="D688" s="324"/>
      <c r="E688" s="325"/>
      <c r="F688" s="325"/>
      <c r="G688" s="325"/>
      <c r="H688" s="325"/>
      <c r="I688" s="325"/>
      <c r="J688" s="325"/>
      <c r="K688" s="325"/>
      <c r="L688" s="325"/>
      <c r="M688" s="325"/>
      <c r="N688" s="303"/>
      <c r="O688" s="304"/>
      <c r="P688" s="312"/>
      <c r="Q688" s="312"/>
      <c r="R688" s="76"/>
      <c r="S688" s="307"/>
      <c r="T688" s="301"/>
      <c r="U688" s="301"/>
      <c r="V688" s="323"/>
      <c r="W688" s="259"/>
      <c r="Y688" s="260"/>
      <c r="AA688" s="259"/>
    </row>
    <row r="689" spans="1:27" s="258" customFormat="1">
      <c r="A689" s="312"/>
      <c r="B689" s="76"/>
      <c r="C689" s="76"/>
      <c r="D689" s="324"/>
      <c r="E689" s="325"/>
      <c r="F689" s="325"/>
      <c r="G689" s="325"/>
      <c r="H689" s="325"/>
      <c r="I689" s="325"/>
      <c r="J689" s="325"/>
      <c r="K689" s="325"/>
      <c r="L689" s="325"/>
      <c r="M689" s="325"/>
      <c r="N689" s="303"/>
      <c r="O689" s="304"/>
      <c r="P689" s="312"/>
      <c r="Q689" s="312"/>
      <c r="R689" s="76"/>
      <c r="S689" s="307"/>
      <c r="T689" s="301"/>
      <c r="U689" s="301"/>
      <c r="V689" s="323"/>
      <c r="W689" s="259"/>
      <c r="Y689" s="260"/>
      <c r="AA689" s="259"/>
    </row>
    <row r="690" spans="1:27" s="258" customFormat="1">
      <c r="A690" s="312"/>
      <c r="B690" s="76"/>
      <c r="C690" s="76"/>
      <c r="D690" s="324"/>
      <c r="E690" s="325"/>
      <c r="F690" s="325"/>
      <c r="G690" s="325"/>
      <c r="H690" s="325"/>
      <c r="I690" s="325"/>
      <c r="J690" s="325"/>
      <c r="K690" s="325"/>
      <c r="L690" s="325"/>
      <c r="M690" s="325"/>
      <c r="N690" s="303"/>
      <c r="O690" s="304"/>
      <c r="P690" s="312"/>
      <c r="Q690" s="312"/>
      <c r="R690" s="76"/>
      <c r="S690" s="307"/>
      <c r="T690" s="301"/>
      <c r="U690" s="301"/>
      <c r="V690" s="323"/>
      <c r="W690" s="259"/>
      <c r="Y690" s="260"/>
      <c r="AA690" s="259"/>
    </row>
    <row r="691" spans="1:27" s="258" customFormat="1">
      <c r="A691" s="312"/>
      <c r="B691" s="76"/>
      <c r="C691" s="76"/>
      <c r="D691" s="324"/>
      <c r="E691" s="325"/>
      <c r="F691" s="325"/>
      <c r="G691" s="325"/>
      <c r="H691" s="325"/>
      <c r="I691" s="325"/>
      <c r="J691" s="325"/>
      <c r="K691" s="325"/>
      <c r="L691" s="325"/>
      <c r="M691" s="325"/>
      <c r="N691" s="303"/>
      <c r="O691" s="304"/>
      <c r="P691" s="312"/>
      <c r="Q691" s="312"/>
      <c r="R691" s="76"/>
      <c r="S691" s="307"/>
      <c r="T691" s="301"/>
      <c r="U691" s="301"/>
      <c r="V691" s="323"/>
      <c r="W691" s="259"/>
      <c r="Y691" s="260"/>
      <c r="AA691" s="259"/>
    </row>
    <row r="692" spans="1:27" s="258" customFormat="1">
      <c r="A692" s="312"/>
      <c r="B692" s="76"/>
      <c r="C692" s="76"/>
      <c r="D692" s="324"/>
      <c r="E692" s="325"/>
      <c r="F692" s="325"/>
      <c r="G692" s="325"/>
      <c r="H692" s="325"/>
      <c r="I692" s="325"/>
      <c r="J692" s="325"/>
      <c r="K692" s="325"/>
      <c r="L692" s="325"/>
      <c r="M692" s="325"/>
      <c r="N692" s="303"/>
      <c r="O692" s="304"/>
      <c r="P692" s="312"/>
      <c r="Q692" s="312"/>
      <c r="R692" s="76"/>
      <c r="S692" s="307"/>
      <c r="T692" s="301"/>
      <c r="U692" s="301"/>
      <c r="V692" s="323"/>
      <c r="W692" s="259"/>
      <c r="Y692" s="260"/>
      <c r="AA692" s="259"/>
    </row>
    <row r="693" spans="1:27" s="258" customFormat="1">
      <c r="A693" s="312"/>
      <c r="B693" s="76"/>
      <c r="C693" s="76"/>
      <c r="D693" s="324"/>
      <c r="E693" s="325"/>
      <c r="F693" s="325"/>
      <c r="G693" s="325"/>
      <c r="H693" s="325"/>
      <c r="I693" s="325"/>
      <c r="J693" s="325"/>
      <c r="K693" s="325"/>
      <c r="L693" s="325"/>
      <c r="M693" s="325"/>
      <c r="N693" s="303"/>
      <c r="O693" s="304"/>
      <c r="P693" s="312"/>
      <c r="Q693" s="312"/>
      <c r="R693" s="76"/>
      <c r="S693" s="307"/>
      <c r="T693" s="301"/>
      <c r="U693" s="301"/>
      <c r="V693" s="323"/>
      <c r="W693" s="259"/>
      <c r="Y693" s="260"/>
      <c r="AA693" s="259"/>
    </row>
    <row r="694" spans="1:27" s="258" customFormat="1">
      <c r="A694" s="312"/>
      <c r="B694" s="76"/>
      <c r="C694" s="76"/>
      <c r="D694" s="324"/>
      <c r="E694" s="325"/>
      <c r="F694" s="325"/>
      <c r="G694" s="325"/>
      <c r="H694" s="325"/>
      <c r="I694" s="325"/>
      <c r="J694" s="325"/>
      <c r="K694" s="325"/>
      <c r="L694" s="325"/>
      <c r="M694" s="325"/>
      <c r="N694" s="303"/>
      <c r="O694" s="304"/>
      <c r="P694" s="312"/>
      <c r="Q694" s="312"/>
      <c r="R694" s="76"/>
      <c r="S694" s="307"/>
      <c r="T694" s="301"/>
      <c r="U694" s="301"/>
      <c r="V694" s="323"/>
      <c r="W694" s="259"/>
      <c r="Y694" s="260"/>
      <c r="AA694" s="259"/>
    </row>
    <row r="695" spans="1:27">
      <c r="A695" s="312"/>
      <c r="B695" s="76"/>
      <c r="C695" s="76"/>
      <c r="D695" s="324"/>
      <c r="E695" s="325"/>
      <c r="F695" s="325"/>
      <c r="G695" s="325"/>
      <c r="H695" s="325"/>
      <c r="I695" s="325"/>
      <c r="J695" s="325"/>
      <c r="K695" s="325"/>
      <c r="L695" s="325"/>
      <c r="M695" s="325"/>
      <c r="N695" s="303"/>
      <c r="O695" s="304"/>
      <c r="P695" s="312"/>
      <c r="Q695" s="312"/>
      <c r="R695" s="76"/>
      <c r="S695" s="307"/>
      <c r="T695" s="301"/>
      <c r="U695" s="301"/>
    </row>
    <row r="696" spans="1:27">
      <c r="A696" s="312"/>
      <c r="B696" s="76"/>
      <c r="C696" s="76"/>
      <c r="D696" s="324"/>
      <c r="E696" s="325"/>
      <c r="F696" s="325"/>
      <c r="G696" s="325"/>
      <c r="H696" s="325"/>
      <c r="I696" s="325"/>
      <c r="J696" s="325"/>
      <c r="K696" s="325"/>
      <c r="L696" s="325"/>
      <c r="M696" s="325"/>
      <c r="N696" s="303"/>
      <c r="O696" s="304"/>
      <c r="P696" s="312"/>
      <c r="Q696" s="312"/>
      <c r="R696" s="76"/>
      <c r="S696" s="307"/>
      <c r="T696" s="301"/>
      <c r="U696" s="301"/>
    </row>
    <row r="697" spans="1:27">
      <c r="A697" s="312"/>
      <c r="B697" s="76"/>
      <c r="C697" s="76"/>
      <c r="D697" s="324"/>
      <c r="E697" s="325"/>
      <c r="F697" s="325"/>
      <c r="G697" s="325"/>
      <c r="H697" s="325"/>
      <c r="I697" s="325"/>
      <c r="J697" s="325"/>
      <c r="K697" s="325"/>
      <c r="L697" s="325"/>
      <c r="M697" s="325"/>
      <c r="N697" s="303"/>
      <c r="O697" s="304"/>
      <c r="P697" s="312"/>
      <c r="Q697" s="312"/>
      <c r="R697" s="76"/>
      <c r="S697" s="307"/>
      <c r="T697" s="301"/>
      <c r="U697" s="301"/>
    </row>
    <row r="698" spans="1:27">
      <c r="A698" s="312"/>
      <c r="B698" s="76"/>
      <c r="C698" s="76"/>
      <c r="D698" s="324"/>
      <c r="E698" s="325"/>
      <c r="F698" s="325"/>
      <c r="G698" s="325"/>
      <c r="H698" s="325"/>
      <c r="I698" s="325"/>
      <c r="J698" s="325"/>
      <c r="K698" s="325"/>
      <c r="L698" s="325"/>
      <c r="M698" s="325"/>
      <c r="N698" s="303"/>
      <c r="O698" s="304"/>
      <c r="P698" s="312"/>
      <c r="Q698" s="312"/>
      <c r="R698" s="76"/>
      <c r="S698" s="307"/>
      <c r="T698" s="301"/>
      <c r="U698" s="301"/>
    </row>
    <row r="699" spans="1:27">
      <c r="A699" s="312"/>
      <c r="B699" s="76"/>
      <c r="C699" s="76"/>
      <c r="D699" s="324"/>
      <c r="E699" s="325"/>
      <c r="F699" s="325"/>
      <c r="G699" s="325"/>
      <c r="H699" s="325"/>
      <c r="I699" s="325"/>
      <c r="J699" s="325"/>
      <c r="K699" s="325"/>
      <c r="L699" s="325"/>
      <c r="M699" s="325"/>
      <c r="N699" s="303"/>
      <c r="O699" s="304"/>
      <c r="P699" s="312"/>
      <c r="Q699" s="312"/>
      <c r="R699" s="76"/>
      <c r="S699" s="307"/>
      <c r="T699" s="301"/>
      <c r="U699" s="301"/>
    </row>
    <row r="700" spans="1:27">
      <c r="A700" s="312"/>
      <c r="B700" s="76"/>
      <c r="C700" s="76"/>
      <c r="D700" s="324"/>
      <c r="E700" s="325"/>
      <c r="F700" s="325"/>
      <c r="G700" s="325"/>
      <c r="H700" s="325"/>
      <c r="I700" s="325"/>
      <c r="J700" s="325"/>
      <c r="K700" s="325"/>
      <c r="L700" s="325"/>
      <c r="M700" s="325"/>
      <c r="N700" s="303"/>
      <c r="O700" s="304"/>
      <c r="P700" s="312"/>
      <c r="Q700" s="312"/>
      <c r="R700" s="76"/>
      <c r="S700" s="307"/>
      <c r="T700" s="301"/>
      <c r="U700" s="301"/>
    </row>
    <row r="701" spans="1:27">
      <c r="A701" s="312"/>
      <c r="B701" s="76"/>
      <c r="C701" s="76"/>
      <c r="D701" s="324"/>
      <c r="E701" s="325"/>
      <c r="F701" s="325"/>
      <c r="G701" s="325"/>
      <c r="H701" s="325"/>
      <c r="I701" s="325"/>
      <c r="J701" s="325"/>
      <c r="K701" s="325"/>
      <c r="L701" s="325"/>
      <c r="M701" s="325"/>
      <c r="N701" s="303"/>
      <c r="O701" s="304"/>
      <c r="P701" s="312"/>
      <c r="Q701" s="312"/>
      <c r="R701" s="76"/>
      <c r="S701" s="307"/>
      <c r="T701" s="301"/>
      <c r="U701" s="301"/>
    </row>
    <row r="702" spans="1:27">
      <c r="A702" s="312"/>
      <c r="B702" s="76"/>
      <c r="C702" s="76"/>
      <c r="D702" s="324"/>
      <c r="E702" s="325"/>
      <c r="F702" s="325"/>
      <c r="G702" s="325"/>
      <c r="H702" s="325"/>
      <c r="I702" s="325"/>
      <c r="J702" s="325"/>
      <c r="K702" s="325"/>
      <c r="L702" s="325"/>
      <c r="M702" s="325"/>
      <c r="N702" s="303"/>
      <c r="O702" s="304"/>
      <c r="P702" s="312"/>
      <c r="Q702" s="312"/>
      <c r="R702" s="76"/>
      <c r="S702" s="307"/>
      <c r="T702" s="301"/>
      <c r="U702" s="301"/>
    </row>
    <row r="703" spans="1:27" s="322" customFormat="1">
      <c r="A703" s="312"/>
      <c r="B703" s="76"/>
      <c r="C703" s="76"/>
      <c r="D703" s="324"/>
      <c r="E703" s="325"/>
      <c r="F703" s="325"/>
      <c r="G703" s="325"/>
      <c r="H703" s="325"/>
      <c r="I703" s="325"/>
      <c r="J703" s="325"/>
      <c r="K703" s="325"/>
      <c r="L703" s="325"/>
      <c r="M703" s="325"/>
      <c r="N703" s="303"/>
      <c r="O703" s="304"/>
      <c r="P703" s="312"/>
      <c r="Q703" s="312"/>
      <c r="R703" s="76"/>
      <c r="S703" s="307"/>
      <c r="T703" s="301"/>
      <c r="U703" s="301"/>
      <c r="W703" s="267"/>
      <c r="X703" s="240"/>
      <c r="Y703" s="268"/>
      <c r="Z703" s="240"/>
      <c r="AA703" s="241"/>
    </row>
    <row r="704" spans="1:27" s="322" customFormat="1">
      <c r="A704" s="312"/>
      <c r="B704" s="76"/>
      <c r="C704" s="76"/>
      <c r="D704" s="324"/>
      <c r="E704" s="325"/>
      <c r="F704" s="325"/>
      <c r="G704" s="325"/>
      <c r="H704" s="325"/>
      <c r="I704" s="325"/>
      <c r="J704" s="325"/>
      <c r="K704" s="325"/>
      <c r="L704" s="325"/>
      <c r="M704" s="325"/>
      <c r="N704" s="303"/>
      <c r="O704" s="304"/>
      <c r="P704" s="312"/>
      <c r="Q704" s="312"/>
      <c r="R704" s="76"/>
      <c r="S704" s="307"/>
      <c r="T704" s="301"/>
      <c r="U704" s="301"/>
      <c r="W704" s="267"/>
      <c r="X704" s="240"/>
      <c r="Y704" s="268"/>
      <c r="Z704" s="240"/>
      <c r="AA704" s="241"/>
    </row>
    <row r="705" spans="1:27" s="322" customFormat="1">
      <c r="A705" s="312"/>
      <c r="B705" s="76"/>
      <c r="C705" s="76"/>
      <c r="D705" s="324"/>
      <c r="E705" s="325"/>
      <c r="F705" s="325"/>
      <c r="G705" s="325"/>
      <c r="H705" s="325"/>
      <c r="I705" s="325"/>
      <c r="J705" s="325"/>
      <c r="K705" s="325"/>
      <c r="L705" s="325"/>
      <c r="M705" s="325"/>
      <c r="N705" s="303"/>
      <c r="O705" s="304"/>
      <c r="P705" s="312"/>
      <c r="Q705" s="312"/>
      <c r="R705" s="76"/>
      <c r="S705" s="307"/>
      <c r="T705" s="301"/>
      <c r="U705" s="301"/>
      <c r="W705" s="267"/>
      <c r="X705" s="240"/>
      <c r="Y705" s="268"/>
      <c r="Z705" s="240"/>
      <c r="AA705" s="241"/>
    </row>
    <row r="706" spans="1:27" s="322" customFormat="1">
      <c r="A706" s="312"/>
      <c r="B706" s="76"/>
      <c r="C706" s="76"/>
      <c r="D706" s="324"/>
      <c r="E706" s="325"/>
      <c r="F706" s="325"/>
      <c r="G706" s="325"/>
      <c r="H706" s="325"/>
      <c r="I706" s="325"/>
      <c r="J706" s="325"/>
      <c r="K706" s="325"/>
      <c r="L706" s="325"/>
      <c r="M706" s="325"/>
      <c r="N706" s="303"/>
      <c r="O706" s="304"/>
      <c r="P706" s="312"/>
      <c r="Q706" s="312"/>
      <c r="R706" s="76"/>
      <c r="S706" s="307"/>
      <c r="T706" s="301"/>
      <c r="U706" s="301"/>
      <c r="W706" s="267"/>
      <c r="X706" s="240"/>
      <c r="Y706" s="268"/>
      <c r="Z706" s="240"/>
      <c r="AA706" s="241"/>
    </row>
    <row r="707" spans="1:27" s="322" customFormat="1">
      <c r="A707" s="312"/>
      <c r="B707" s="76"/>
      <c r="C707" s="76"/>
      <c r="D707" s="324"/>
      <c r="E707" s="325"/>
      <c r="F707" s="325"/>
      <c r="G707" s="325"/>
      <c r="H707" s="325"/>
      <c r="I707" s="325"/>
      <c r="J707" s="325"/>
      <c r="K707" s="325"/>
      <c r="L707" s="325"/>
      <c r="M707" s="325"/>
      <c r="N707" s="303"/>
      <c r="O707" s="304"/>
      <c r="P707" s="312"/>
      <c r="Q707" s="314"/>
      <c r="R707" s="315"/>
      <c r="S707" s="307"/>
      <c r="T707" s="301"/>
      <c r="U707" s="301"/>
      <c r="W707" s="267"/>
      <c r="X707" s="240"/>
      <c r="Y707" s="268"/>
      <c r="Z707" s="240"/>
      <c r="AA707" s="241"/>
    </row>
    <row r="708" spans="1:27" s="322" customFormat="1">
      <c r="A708" s="312"/>
      <c r="B708" s="76"/>
      <c r="C708" s="76"/>
      <c r="D708" s="324"/>
      <c r="E708" s="325"/>
      <c r="F708" s="325"/>
      <c r="G708" s="325"/>
      <c r="H708" s="325"/>
      <c r="I708" s="325"/>
      <c r="J708" s="325"/>
      <c r="K708" s="325"/>
      <c r="L708" s="325"/>
      <c r="M708" s="325"/>
      <c r="N708" s="303"/>
      <c r="O708" s="304"/>
      <c r="P708" s="312"/>
      <c r="Q708" s="314"/>
      <c r="R708" s="315"/>
      <c r="S708" s="307"/>
      <c r="T708" s="301"/>
      <c r="U708" s="301"/>
      <c r="W708" s="267"/>
      <c r="X708" s="240"/>
      <c r="Y708" s="268"/>
      <c r="Z708" s="240"/>
      <c r="AA708" s="241"/>
    </row>
    <row r="709" spans="1:27" s="322" customFormat="1">
      <c r="A709" s="312"/>
      <c r="B709" s="76"/>
      <c r="C709" s="76"/>
      <c r="D709" s="324"/>
      <c r="E709" s="325"/>
      <c r="F709" s="325"/>
      <c r="G709" s="325"/>
      <c r="H709" s="325"/>
      <c r="I709" s="325"/>
      <c r="J709" s="325"/>
      <c r="K709" s="325"/>
      <c r="L709" s="325"/>
      <c r="M709" s="325"/>
      <c r="N709" s="303"/>
      <c r="O709" s="304"/>
      <c r="P709" s="312"/>
      <c r="Q709" s="314"/>
      <c r="R709" s="315"/>
      <c r="S709" s="307"/>
      <c r="T709" s="301"/>
      <c r="U709" s="301"/>
      <c r="W709" s="267"/>
      <c r="X709" s="240"/>
      <c r="Y709" s="268"/>
      <c r="Z709" s="240"/>
      <c r="AA709" s="241"/>
    </row>
    <row r="710" spans="1:27" s="322" customFormat="1">
      <c r="A710" s="312"/>
      <c r="B710" s="76"/>
      <c r="C710" s="76"/>
      <c r="D710" s="324"/>
      <c r="E710" s="325"/>
      <c r="F710" s="325"/>
      <c r="G710" s="325"/>
      <c r="H710" s="325"/>
      <c r="I710" s="325"/>
      <c r="J710" s="325"/>
      <c r="K710" s="325"/>
      <c r="L710" s="325"/>
      <c r="M710" s="325"/>
      <c r="N710" s="303"/>
      <c r="O710" s="304"/>
      <c r="P710" s="312"/>
      <c r="Q710" s="314"/>
      <c r="R710" s="315"/>
      <c r="S710" s="307"/>
      <c r="T710" s="301"/>
      <c r="U710" s="301"/>
      <c r="W710" s="267"/>
      <c r="X710" s="240"/>
      <c r="Y710" s="268"/>
      <c r="Z710" s="240"/>
      <c r="AA710" s="241"/>
    </row>
    <row r="711" spans="1:27" s="322" customFormat="1">
      <c r="A711" s="312"/>
      <c r="B711" s="76"/>
      <c r="C711" s="76"/>
      <c r="D711" s="324"/>
      <c r="E711" s="325"/>
      <c r="F711" s="325"/>
      <c r="G711" s="325"/>
      <c r="H711" s="325"/>
      <c r="I711" s="325"/>
      <c r="J711" s="325"/>
      <c r="K711" s="325"/>
      <c r="L711" s="325"/>
      <c r="M711" s="325"/>
      <c r="N711" s="303"/>
      <c r="O711" s="304"/>
      <c r="P711" s="312"/>
      <c r="Q711" s="314"/>
      <c r="R711" s="315"/>
      <c r="S711" s="307"/>
      <c r="T711" s="301"/>
      <c r="U711" s="301"/>
      <c r="W711" s="267"/>
      <c r="X711" s="240"/>
      <c r="Y711" s="268"/>
      <c r="Z711" s="240"/>
      <c r="AA711" s="241"/>
    </row>
    <row r="712" spans="1:27" s="322" customFormat="1">
      <c r="A712" s="312"/>
      <c r="B712" s="76"/>
      <c r="C712" s="76"/>
      <c r="D712" s="324"/>
      <c r="E712" s="325"/>
      <c r="F712" s="325"/>
      <c r="G712" s="325"/>
      <c r="H712" s="325"/>
      <c r="I712" s="325"/>
      <c r="J712" s="325"/>
      <c r="K712" s="325"/>
      <c r="L712" s="325"/>
      <c r="M712" s="325"/>
      <c r="N712" s="303"/>
      <c r="O712" s="304"/>
      <c r="P712" s="312"/>
      <c r="Q712" s="314"/>
      <c r="R712" s="315"/>
      <c r="S712" s="307"/>
      <c r="T712" s="301"/>
      <c r="U712" s="301"/>
      <c r="W712" s="267"/>
      <c r="X712" s="240"/>
      <c r="Y712" s="268"/>
      <c r="Z712" s="240"/>
      <c r="AA712" s="241"/>
    </row>
    <row r="713" spans="1:27" s="322" customFormat="1">
      <c r="A713" s="312"/>
      <c r="B713" s="76"/>
      <c r="C713" s="76"/>
      <c r="D713" s="324"/>
      <c r="E713" s="325"/>
      <c r="F713" s="325"/>
      <c r="G713" s="325"/>
      <c r="H713" s="325"/>
      <c r="I713" s="325"/>
      <c r="J713" s="325"/>
      <c r="K713" s="325"/>
      <c r="L713" s="325"/>
      <c r="M713" s="325"/>
      <c r="N713" s="303"/>
      <c r="O713" s="304"/>
      <c r="P713" s="312"/>
      <c r="Q713" s="314"/>
      <c r="R713" s="315"/>
      <c r="S713" s="307"/>
      <c r="T713" s="301"/>
      <c r="U713" s="301"/>
      <c r="W713" s="267"/>
      <c r="X713" s="240"/>
      <c r="Y713" s="268"/>
      <c r="Z713" s="240"/>
      <c r="AA713" s="241"/>
    </row>
    <row r="714" spans="1:27" s="322" customFormat="1">
      <c r="A714" s="312"/>
      <c r="B714" s="76"/>
      <c r="C714" s="76"/>
      <c r="D714" s="324"/>
      <c r="E714" s="325"/>
      <c r="F714" s="325"/>
      <c r="G714" s="325"/>
      <c r="H714" s="325"/>
      <c r="I714" s="325"/>
      <c r="J714" s="325"/>
      <c r="K714" s="325"/>
      <c r="L714" s="325"/>
      <c r="M714" s="325"/>
      <c r="N714" s="303"/>
      <c r="O714" s="304"/>
      <c r="P714" s="312"/>
      <c r="Q714" s="314"/>
      <c r="R714" s="315"/>
      <c r="S714" s="307"/>
      <c r="T714" s="301"/>
      <c r="U714" s="301"/>
      <c r="W714" s="267"/>
      <c r="X714" s="240"/>
      <c r="Y714" s="268"/>
      <c r="Z714" s="240"/>
      <c r="AA714" s="241"/>
    </row>
    <row r="715" spans="1:27" s="322" customFormat="1">
      <c r="A715" s="312"/>
      <c r="B715" s="76"/>
      <c r="C715" s="76"/>
      <c r="D715" s="324"/>
      <c r="E715" s="325"/>
      <c r="F715" s="325"/>
      <c r="G715" s="325"/>
      <c r="H715" s="325"/>
      <c r="I715" s="325"/>
      <c r="J715" s="325"/>
      <c r="K715" s="325"/>
      <c r="L715" s="325"/>
      <c r="M715" s="325"/>
      <c r="N715" s="303"/>
      <c r="O715" s="304"/>
      <c r="P715" s="312"/>
      <c r="Q715" s="314"/>
      <c r="R715" s="315"/>
      <c r="S715" s="307"/>
      <c r="T715" s="301"/>
      <c r="U715" s="301"/>
      <c r="W715" s="267"/>
      <c r="X715" s="240"/>
      <c r="Y715" s="268"/>
      <c r="Z715" s="240"/>
      <c r="AA715" s="241"/>
    </row>
    <row r="716" spans="1:27" s="322" customFormat="1">
      <c r="A716" s="312"/>
      <c r="B716" s="76"/>
      <c r="C716" s="76"/>
      <c r="D716" s="324"/>
      <c r="E716" s="325"/>
      <c r="F716" s="325"/>
      <c r="G716" s="325"/>
      <c r="H716" s="325"/>
      <c r="I716" s="325"/>
      <c r="J716" s="325"/>
      <c r="K716" s="325"/>
      <c r="L716" s="325"/>
      <c r="M716" s="325"/>
      <c r="N716" s="303"/>
      <c r="O716" s="304"/>
      <c r="P716" s="312"/>
      <c r="Q716" s="314"/>
      <c r="R716" s="315"/>
      <c r="S716" s="307"/>
      <c r="T716" s="301"/>
      <c r="U716" s="301"/>
      <c r="W716" s="267"/>
      <c r="X716" s="240"/>
      <c r="Y716" s="268"/>
      <c r="Z716" s="240"/>
      <c r="AA716" s="241"/>
    </row>
    <row r="717" spans="1:27" s="322" customFormat="1">
      <c r="A717" s="312"/>
      <c r="B717" s="76"/>
      <c r="C717" s="76"/>
      <c r="D717" s="324"/>
      <c r="E717" s="325"/>
      <c r="F717" s="325"/>
      <c r="G717" s="325"/>
      <c r="H717" s="325"/>
      <c r="I717" s="325"/>
      <c r="J717" s="325"/>
      <c r="K717" s="325"/>
      <c r="L717" s="325"/>
      <c r="M717" s="325"/>
      <c r="N717" s="303"/>
      <c r="O717" s="304"/>
      <c r="P717" s="312"/>
      <c r="Q717" s="314"/>
      <c r="R717" s="315"/>
      <c r="S717" s="307"/>
      <c r="T717" s="301"/>
      <c r="U717" s="301"/>
      <c r="W717" s="267"/>
      <c r="X717" s="240"/>
      <c r="Y717" s="268"/>
      <c r="Z717" s="240"/>
      <c r="AA717" s="241"/>
    </row>
    <row r="718" spans="1:27" s="322" customFormat="1">
      <c r="A718" s="312"/>
      <c r="B718" s="76"/>
      <c r="C718" s="76"/>
      <c r="D718" s="324"/>
      <c r="E718" s="325"/>
      <c r="F718" s="325"/>
      <c r="G718" s="325"/>
      <c r="H718" s="325"/>
      <c r="I718" s="325"/>
      <c r="J718" s="325"/>
      <c r="K718" s="325"/>
      <c r="L718" s="325"/>
      <c r="M718" s="325"/>
      <c r="N718" s="303"/>
      <c r="O718" s="304"/>
      <c r="P718" s="312"/>
      <c r="Q718" s="314"/>
      <c r="R718" s="315"/>
      <c r="S718" s="307"/>
      <c r="T718" s="301"/>
      <c r="U718" s="301"/>
      <c r="W718" s="267"/>
      <c r="X718" s="240"/>
      <c r="Y718" s="268"/>
      <c r="Z718" s="240"/>
      <c r="AA718" s="241"/>
    </row>
    <row r="719" spans="1:27" s="322" customFormat="1">
      <c r="A719" s="312"/>
      <c r="B719" s="76"/>
      <c r="C719" s="76"/>
      <c r="D719" s="324"/>
      <c r="E719" s="325"/>
      <c r="F719" s="325"/>
      <c r="G719" s="325"/>
      <c r="H719" s="325"/>
      <c r="I719" s="325"/>
      <c r="J719" s="325"/>
      <c r="K719" s="325"/>
      <c r="L719" s="325"/>
      <c r="M719" s="325"/>
      <c r="N719" s="303"/>
      <c r="O719" s="304"/>
      <c r="P719" s="312"/>
      <c r="Q719" s="314"/>
      <c r="R719" s="315"/>
      <c r="S719" s="307"/>
      <c r="T719" s="301"/>
      <c r="U719" s="301"/>
      <c r="W719" s="267"/>
      <c r="X719" s="240"/>
      <c r="Y719" s="268"/>
      <c r="Z719" s="240"/>
      <c r="AA719" s="241"/>
    </row>
    <row r="720" spans="1:27" s="322" customFormat="1">
      <c r="A720" s="312"/>
      <c r="B720" s="76"/>
      <c r="C720" s="76"/>
      <c r="D720" s="324"/>
      <c r="E720" s="325"/>
      <c r="F720" s="325"/>
      <c r="G720" s="325"/>
      <c r="H720" s="325"/>
      <c r="I720" s="325"/>
      <c r="J720" s="325"/>
      <c r="K720" s="325"/>
      <c r="L720" s="325"/>
      <c r="M720" s="325"/>
      <c r="N720" s="303"/>
      <c r="O720" s="304"/>
      <c r="P720" s="312"/>
      <c r="Q720" s="314"/>
      <c r="R720" s="315"/>
      <c r="S720" s="307"/>
      <c r="T720" s="301"/>
      <c r="U720" s="301"/>
      <c r="W720" s="267"/>
      <c r="X720" s="240"/>
      <c r="Y720" s="268"/>
      <c r="Z720" s="240"/>
      <c r="AA720" s="241"/>
    </row>
    <row r="721" spans="1:27" s="322" customFormat="1">
      <c r="A721" s="312"/>
      <c r="B721" s="76"/>
      <c r="C721" s="76"/>
      <c r="D721" s="324"/>
      <c r="E721" s="325"/>
      <c r="F721" s="325"/>
      <c r="G721" s="325"/>
      <c r="H721" s="325"/>
      <c r="I721" s="325"/>
      <c r="J721" s="325"/>
      <c r="K721" s="325"/>
      <c r="L721" s="325"/>
      <c r="M721" s="325"/>
      <c r="N721" s="303"/>
      <c r="O721" s="304"/>
      <c r="P721" s="312"/>
      <c r="Q721" s="314"/>
      <c r="R721" s="315"/>
      <c r="S721" s="307"/>
      <c r="T721" s="301"/>
      <c r="U721" s="301"/>
      <c r="W721" s="267"/>
      <c r="X721" s="240"/>
      <c r="Y721" s="268"/>
      <c r="Z721" s="240"/>
      <c r="AA721" s="241"/>
    </row>
    <row r="722" spans="1:27" s="322" customFormat="1">
      <c r="A722" s="312"/>
      <c r="B722" s="76"/>
      <c r="C722" s="76"/>
      <c r="D722" s="324"/>
      <c r="E722" s="325"/>
      <c r="F722" s="325"/>
      <c r="G722" s="325"/>
      <c r="H722" s="325"/>
      <c r="I722" s="325"/>
      <c r="J722" s="325"/>
      <c r="K722" s="325"/>
      <c r="L722" s="325"/>
      <c r="M722" s="325"/>
      <c r="N722" s="303"/>
      <c r="O722" s="304"/>
      <c r="P722" s="312"/>
      <c r="Q722" s="314"/>
      <c r="R722" s="315"/>
      <c r="S722" s="307"/>
      <c r="T722" s="301"/>
      <c r="U722" s="301"/>
      <c r="W722" s="267"/>
      <c r="X722" s="240"/>
      <c r="Y722" s="268"/>
      <c r="Z722" s="240"/>
      <c r="AA722" s="241"/>
    </row>
    <row r="723" spans="1:27" s="322" customFormat="1">
      <c r="A723" s="312"/>
      <c r="B723" s="76"/>
      <c r="C723" s="76"/>
      <c r="D723" s="324"/>
      <c r="E723" s="325"/>
      <c r="F723" s="325"/>
      <c r="G723" s="325"/>
      <c r="H723" s="325"/>
      <c r="I723" s="325"/>
      <c r="J723" s="325"/>
      <c r="K723" s="325"/>
      <c r="L723" s="325"/>
      <c r="M723" s="325"/>
      <c r="N723" s="303"/>
      <c r="O723" s="304"/>
      <c r="P723" s="312"/>
      <c r="Q723" s="314"/>
      <c r="R723" s="315"/>
      <c r="S723" s="307"/>
      <c r="T723" s="301"/>
      <c r="U723" s="301"/>
      <c r="W723" s="267"/>
      <c r="X723" s="240"/>
      <c r="Y723" s="268"/>
      <c r="Z723" s="240"/>
      <c r="AA723" s="241"/>
    </row>
    <row r="724" spans="1:27" s="322" customFormat="1">
      <c r="A724" s="312"/>
      <c r="B724" s="76"/>
      <c r="C724" s="76"/>
      <c r="D724" s="324"/>
      <c r="E724" s="325"/>
      <c r="F724" s="325"/>
      <c r="G724" s="325"/>
      <c r="H724" s="325"/>
      <c r="I724" s="325"/>
      <c r="J724" s="325"/>
      <c r="K724" s="325"/>
      <c r="L724" s="325"/>
      <c r="M724" s="325"/>
      <c r="N724" s="303"/>
      <c r="O724" s="304"/>
      <c r="P724" s="312"/>
      <c r="Q724" s="314"/>
      <c r="R724" s="315"/>
      <c r="S724" s="307"/>
      <c r="T724" s="301"/>
      <c r="U724" s="301"/>
      <c r="W724" s="267"/>
      <c r="X724" s="240"/>
      <c r="Y724" s="268"/>
      <c r="Z724" s="240"/>
      <c r="AA724" s="241"/>
    </row>
    <row r="725" spans="1:27" s="322" customFormat="1">
      <c r="A725" s="312"/>
      <c r="B725" s="76"/>
      <c r="C725" s="76"/>
      <c r="D725" s="324"/>
      <c r="E725" s="325"/>
      <c r="F725" s="325"/>
      <c r="G725" s="325"/>
      <c r="H725" s="325"/>
      <c r="I725" s="325"/>
      <c r="J725" s="325"/>
      <c r="K725" s="325"/>
      <c r="L725" s="325"/>
      <c r="M725" s="325"/>
      <c r="N725" s="303"/>
      <c r="O725" s="304"/>
      <c r="P725" s="312"/>
      <c r="Q725" s="314"/>
      <c r="R725" s="315"/>
      <c r="S725" s="307"/>
      <c r="T725" s="301"/>
      <c r="U725" s="301"/>
      <c r="W725" s="267"/>
      <c r="X725" s="240"/>
      <c r="Y725" s="268"/>
      <c r="Z725" s="240"/>
      <c r="AA725" s="241"/>
    </row>
    <row r="726" spans="1:27" s="322" customFormat="1">
      <c r="A726" s="312"/>
      <c r="B726" s="76"/>
      <c r="C726" s="76"/>
      <c r="D726" s="324"/>
      <c r="E726" s="325"/>
      <c r="F726" s="325"/>
      <c r="G726" s="325"/>
      <c r="H726" s="325"/>
      <c r="I726" s="325"/>
      <c r="J726" s="325"/>
      <c r="K726" s="325"/>
      <c r="L726" s="325"/>
      <c r="M726" s="325"/>
      <c r="N726" s="303"/>
      <c r="O726" s="304"/>
      <c r="P726" s="312"/>
      <c r="Q726" s="314"/>
      <c r="R726" s="315"/>
      <c r="S726" s="307"/>
      <c r="T726" s="301"/>
      <c r="U726" s="301"/>
      <c r="W726" s="267"/>
      <c r="X726" s="240"/>
      <c r="Y726" s="268"/>
      <c r="Z726" s="240"/>
      <c r="AA726" s="241"/>
    </row>
    <row r="727" spans="1:27" s="322" customFormat="1">
      <c r="A727" s="312"/>
      <c r="B727" s="76"/>
      <c r="C727" s="76"/>
      <c r="D727" s="324"/>
      <c r="E727" s="325"/>
      <c r="F727" s="325"/>
      <c r="G727" s="325"/>
      <c r="H727" s="325"/>
      <c r="I727" s="325"/>
      <c r="J727" s="325"/>
      <c r="K727" s="325"/>
      <c r="L727" s="325"/>
      <c r="M727" s="325"/>
      <c r="N727" s="303"/>
      <c r="O727" s="304"/>
      <c r="P727" s="312"/>
      <c r="Q727" s="314"/>
      <c r="R727" s="315"/>
      <c r="S727" s="307"/>
      <c r="T727" s="301"/>
      <c r="U727" s="301"/>
      <c r="W727" s="267"/>
      <c r="X727" s="240"/>
      <c r="Y727" s="268"/>
      <c r="Z727" s="240"/>
      <c r="AA727" s="241"/>
    </row>
    <row r="728" spans="1:27" s="322" customFormat="1">
      <c r="A728" s="312"/>
      <c r="B728" s="76"/>
      <c r="C728" s="76"/>
      <c r="D728" s="324"/>
      <c r="E728" s="325"/>
      <c r="F728" s="325"/>
      <c r="G728" s="325"/>
      <c r="H728" s="325"/>
      <c r="I728" s="325"/>
      <c r="J728" s="325"/>
      <c r="K728" s="325"/>
      <c r="L728" s="325"/>
      <c r="M728" s="325"/>
      <c r="N728" s="303"/>
      <c r="O728" s="304"/>
      <c r="P728" s="312"/>
      <c r="Q728" s="314"/>
      <c r="R728" s="315"/>
      <c r="S728" s="307"/>
      <c r="T728" s="301"/>
      <c r="U728" s="301"/>
      <c r="W728" s="267"/>
      <c r="X728" s="240"/>
      <c r="Y728" s="268"/>
      <c r="Z728" s="240"/>
      <c r="AA728" s="241"/>
    </row>
    <row r="729" spans="1:27" s="322" customFormat="1">
      <c r="A729" s="312"/>
      <c r="B729" s="76"/>
      <c r="C729" s="76"/>
      <c r="D729" s="324"/>
      <c r="E729" s="325"/>
      <c r="F729" s="325"/>
      <c r="G729" s="325"/>
      <c r="H729" s="325"/>
      <c r="I729" s="325"/>
      <c r="J729" s="325"/>
      <c r="K729" s="325"/>
      <c r="L729" s="325"/>
      <c r="M729" s="325"/>
      <c r="N729" s="303"/>
      <c r="O729" s="304"/>
      <c r="P729" s="312"/>
      <c r="Q729" s="314"/>
      <c r="R729" s="315"/>
      <c r="S729" s="307"/>
      <c r="T729" s="301"/>
      <c r="U729" s="301"/>
      <c r="W729" s="267"/>
      <c r="X729" s="240"/>
      <c r="Y729" s="268"/>
      <c r="Z729" s="240"/>
      <c r="AA729" s="241"/>
    </row>
    <row r="730" spans="1:27" s="322" customFormat="1">
      <c r="A730" s="312"/>
      <c r="B730" s="76"/>
      <c r="C730" s="76"/>
      <c r="D730" s="324"/>
      <c r="E730" s="325"/>
      <c r="F730" s="325"/>
      <c r="G730" s="325"/>
      <c r="H730" s="325"/>
      <c r="I730" s="325"/>
      <c r="J730" s="325"/>
      <c r="K730" s="325"/>
      <c r="L730" s="325"/>
      <c r="M730" s="325"/>
      <c r="N730" s="303"/>
      <c r="O730" s="304"/>
      <c r="P730" s="312"/>
      <c r="Q730" s="314"/>
      <c r="R730" s="315"/>
      <c r="S730" s="307"/>
      <c r="T730" s="301"/>
      <c r="U730" s="301"/>
      <c r="W730" s="267"/>
      <c r="X730" s="240"/>
      <c r="Y730" s="268"/>
      <c r="Z730" s="240"/>
      <c r="AA730" s="241"/>
    </row>
    <row r="731" spans="1:27" s="322" customFormat="1">
      <c r="A731" s="312"/>
      <c r="B731" s="76"/>
      <c r="C731" s="76"/>
      <c r="D731" s="324"/>
      <c r="E731" s="325"/>
      <c r="F731" s="325"/>
      <c r="G731" s="325"/>
      <c r="H731" s="325"/>
      <c r="I731" s="325"/>
      <c r="J731" s="325"/>
      <c r="K731" s="325"/>
      <c r="L731" s="325"/>
      <c r="M731" s="325"/>
      <c r="N731" s="303"/>
      <c r="O731" s="304"/>
      <c r="P731" s="312"/>
      <c r="Q731" s="314"/>
      <c r="R731" s="315"/>
      <c r="S731" s="307"/>
      <c r="T731" s="301"/>
      <c r="U731" s="301"/>
      <c r="W731" s="267"/>
      <c r="X731" s="240"/>
      <c r="Y731" s="268"/>
      <c r="Z731" s="240"/>
      <c r="AA731" s="241"/>
    </row>
    <row r="732" spans="1:27" s="322" customFormat="1">
      <c r="A732" s="312"/>
      <c r="B732" s="76"/>
      <c r="C732" s="76"/>
      <c r="D732" s="324"/>
      <c r="E732" s="325"/>
      <c r="F732" s="325"/>
      <c r="G732" s="325"/>
      <c r="H732" s="325"/>
      <c r="I732" s="325"/>
      <c r="J732" s="325"/>
      <c r="K732" s="325"/>
      <c r="L732" s="325"/>
      <c r="M732" s="325"/>
      <c r="N732" s="303"/>
      <c r="O732" s="304"/>
      <c r="P732" s="312"/>
      <c r="Q732" s="314"/>
      <c r="R732" s="315"/>
      <c r="S732" s="307"/>
      <c r="T732" s="301"/>
      <c r="U732" s="301"/>
      <c r="W732" s="267"/>
      <c r="X732" s="240"/>
      <c r="Y732" s="268"/>
      <c r="Z732" s="240"/>
      <c r="AA732" s="241"/>
    </row>
    <row r="733" spans="1:27" s="322" customFormat="1">
      <c r="A733" s="312"/>
      <c r="B733" s="76"/>
      <c r="C733" s="76"/>
      <c r="D733" s="324"/>
      <c r="E733" s="325"/>
      <c r="F733" s="325"/>
      <c r="G733" s="325"/>
      <c r="H733" s="325"/>
      <c r="I733" s="325"/>
      <c r="J733" s="325"/>
      <c r="K733" s="325"/>
      <c r="L733" s="325"/>
      <c r="M733" s="325"/>
      <c r="N733" s="303"/>
      <c r="O733" s="304"/>
      <c r="P733" s="312"/>
      <c r="Q733" s="314"/>
      <c r="R733" s="315"/>
      <c r="S733" s="307"/>
      <c r="T733" s="301"/>
      <c r="U733" s="301"/>
      <c r="W733" s="267"/>
      <c r="X733" s="240"/>
      <c r="Y733" s="268"/>
      <c r="Z733" s="240"/>
      <c r="AA733" s="241"/>
    </row>
    <row r="734" spans="1:27" s="322" customFormat="1">
      <c r="A734" s="312"/>
      <c r="B734" s="76"/>
      <c r="C734" s="76"/>
      <c r="D734" s="324"/>
      <c r="E734" s="325"/>
      <c r="F734" s="325"/>
      <c r="G734" s="325"/>
      <c r="H734" s="325"/>
      <c r="I734" s="325"/>
      <c r="J734" s="325"/>
      <c r="K734" s="325"/>
      <c r="L734" s="325"/>
      <c r="M734" s="325"/>
      <c r="N734" s="303"/>
      <c r="O734" s="304"/>
      <c r="P734" s="312"/>
      <c r="Q734" s="314"/>
      <c r="R734" s="315"/>
      <c r="S734" s="307"/>
      <c r="T734" s="301"/>
      <c r="U734" s="301"/>
      <c r="W734" s="267"/>
      <c r="X734" s="240"/>
      <c r="Y734" s="268"/>
      <c r="Z734" s="240"/>
      <c r="AA734" s="241"/>
    </row>
    <row r="735" spans="1:27" s="322" customFormat="1">
      <c r="A735" s="312"/>
      <c r="B735" s="76"/>
      <c r="C735" s="76"/>
      <c r="D735" s="324"/>
      <c r="E735" s="325"/>
      <c r="F735" s="325"/>
      <c r="G735" s="325"/>
      <c r="H735" s="325"/>
      <c r="I735" s="325"/>
      <c r="J735" s="325"/>
      <c r="K735" s="325"/>
      <c r="L735" s="325"/>
      <c r="M735" s="325"/>
      <c r="N735" s="303"/>
      <c r="O735" s="304"/>
      <c r="P735" s="312"/>
      <c r="Q735" s="314"/>
      <c r="R735" s="315"/>
      <c r="S735" s="307"/>
      <c r="T735" s="301"/>
      <c r="U735" s="301"/>
      <c r="W735" s="267"/>
      <c r="X735" s="240"/>
      <c r="Y735" s="268"/>
      <c r="Z735" s="240"/>
      <c r="AA735" s="241"/>
    </row>
    <row r="736" spans="1:27" s="322" customFormat="1">
      <c r="A736" s="312"/>
      <c r="B736" s="76"/>
      <c r="C736" s="76"/>
      <c r="D736" s="324"/>
      <c r="E736" s="325"/>
      <c r="F736" s="325"/>
      <c r="G736" s="325"/>
      <c r="H736" s="325"/>
      <c r="I736" s="325"/>
      <c r="J736" s="325"/>
      <c r="K736" s="325"/>
      <c r="L736" s="325"/>
      <c r="M736" s="325"/>
      <c r="N736" s="303"/>
      <c r="O736" s="304"/>
      <c r="P736" s="312"/>
      <c r="Q736" s="314"/>
      <c r="R736" s="315"/>
      <c r="S736" s="307"/>
      <c r="T736" s="301"/>
      <c r="U736" s="301"/>
      <c r="W736" s="267"/>
      <c r="X736" s="240"/>
      <c r="Y736" s="268"/>
      <c r="Z736" s="240"/>
      <c r="AA736" s="241"/>
    </row>
    <row r="737" spans="1:27" s="322" customFormat="1">
      <c r="A737" s="312"/>
      <c r="B737" s="76"/>
      <c r="C737" s="76"/>
      <c r="D737" s="324"/>
      <c r="E737" s="325"/>
      <c r="F737" s="325"/>
      <c r="G737" s="325"/>
      <c r="H737" s="325"/>
      <c r="I737" s="325"/>
      <c r="J737" s="325"/>
      <c r="K737" s="325"/>
      <c r="L737" s="325"/>
      <c r="M737" s="325"/>
      <c r="N737" s="303"/>
      <c r="O737" s="304"/>
      <c r="P737" s="312"/>
      <c r="Q737" s="314"/>
      <c r="R737" s="315"/>
      <c r="S737" s="307"/>
      <c r="T737" s="301"/>
      <c r="U737" s="301"/>
      <c r="W737" s="267"/>
      <c r="X737" s="240"/>
      <c r="Y737" s="268"/>
      <c r="Z737" s="240"/>
      <c r="AA737" s="241"/>
    </row>
    <row r="738" spans="1:27" s="322" customFormat="1">
      <c r="A738" s="312"/>
      <c r="B738" s="76"/>
      <c r="C738" s="76"/>
      <c r="D738" s="324"/>
      <c r="E738" s="325"/>
      <c r="F738" s="325"/>
      <c r="G738" s="325"/>
      <c r="H738" s="325"/>
      <c r="I738" s="325"/>
      <c r="J738" s="325"/>
      <c r="K738" s="325"/>
      <c r="L738" s="325"/>
      <c r="M738" s="325"/>
      <c r="N738" s="303"/>
      <c r="O738" s="304"/>
      <c r="P738" s="312"/>
      <c r="Q738" s="314"/>
      <c r="R738" s="315"/>
      <c r="S738" s="307"/>
      <c r="T738" s="301"/>
      <c r="U738" s="301"/>
      <c r="W738" s="267"/>
      <c r="X738" s="240"/>
      <c r="Y738" s="268"/>
      <c r="Z738" s="240"/>
      <c r="AA738" s="241"/>
    </row>
    <row r="739" spans="1:27" s="322" customFormat="1">
      <c r="A739" s="312"/>
      <c r="B739" s="76"/>
      <c r="C739" s="76"/>
      <c r="D739" s="324"/>
      <c r="E739" s="325"/>
      <c r="F739" s="325"/>
      <c r="G739" s="325"/>
      <c r="H739" s="325"/>
      <c r="I739" s="325"/>
      <c r="J739" s="325"/>
      <c r="K739" s="325"/>
      <c r="L739" s="325"/>
      <c r="M739" s="325"/>
      <c r="N739" s="303"/>
      <c r="O739" s="304"/>
      <c r="P739" s="312"/>
      <c r="Q739" s="314"/>
      <c r="R739" s="315"/>
      <c r="S739" s="307"/>
      <c r="T739" s="301"/>
      <c r="U739" s="301"/>
      <c r="W739" s="267"/>
      <c r="X739" s="240"/>
      <c r="Y739" s="268"/>
      <c r="Z739" s="240"/>
      <c r="AA739" s="241"/>
    </row>
    <row r="740" spans="1:27" s="322" customFormat="1">
      <c r="A740" s="312"/>
      <c r="B740" s="76"/>
      <c r="C740" s="76"/>
      <c r="D740" s="324"/>
      <c r="E740" s="325"/>
      <c r="F740" s="325"/>
      <c r="G740" s="325"/>
      <c r="H740" s="325"/>
      <c r="I740" s="325"/>
      <c r="J740" s="325"/>
      <c r="K740" s="325"/>
      <c r="L740" s="325"/>
      <c r="M740" s="325"/>
      <c r="N740" s="303"/>
      <c r="O740" s="304"/>
      <c r="P740" s="312"/>
      <c r="Q740" s="314"/>
      <c r="R740" s="315"/>
      <c r="S740" s="307"/>
      <c r="T740" s="301"/>
      <c r="U740" s="301"/>
      <c r="W740" s="267"/>
      <c r="X740" s="240"/>
      <c r="Y740" s="268"/>
      <c r="Z740" s="240"/>
      <c r="AA740" s="241"/>
    </row>
    <row r="741" spans="1:27" s="322" customFormat="1">
      <c r="A741" s="312"/>
      <c r="B741" s="76"/>
      <c r="C741" s="76"/>
      <c r="D741" s="324"/>
      <c r="E741" s="325"/>
      <c r="F741" s="325"/>
      <c r="G741" s="325"/>
      <c r="H741" s="325"/>
      <c r="I741" s="325"/>
      <c r="J741" s="325"/>
      <c r="K741" s="325"/>
      <c r="L741" s="325"/>
      <c r="M741" s="325"/>
      <c r="N741" s="303"/>
      <c r="O741" s="304"/>
      <c r="P741" s="312"/>
      <c r="Q741" s="314"/>
      <c r="R741" s="315"/>
      <c r="S741" s="307"/>
      <c r="T741" s="301"/>
      <c r="U741" s="301"/>
      <c r="W741" s="267"/>
      <c r="X741" s="240"/>
      <c r="Y741" s="268"/>
      <c r="Z741" s="240"/>
      <c r="AA741" s="241"/>
    </row>
    <row r="742" spans="1:27" s="322" customFormat="1">
      <c r="A742" s="312"/>
      <c r="B742" s="76"/>
      <c r="C742" s="76"/>
      <c r="D742" s="324"/>
      <c r="E742" s="325"/>
      <c r="F742" s="325"/>
      <c r="G742" s="325"/>
      <c r="H742" s="325"/>
      <c r="I742" s="325"/>
      <c r="J742" s="325"/>
      <c r="K742" s="325"/>
      <c r="L742" s="325"/>
      <c r="M742" s="325"/>
      <c r="N742" s="303"/>
      <c r="O742" s="304"/>
      <c r="P742" s="312"/>
      <c r="Q742" s="314"/>
      <c r="R742" s="315"/>
      <c r="S742" s="307"/>
      <c r="T742" s="301"/>
      <c r="U742" s="301"/>
      <c r="W742" s="267"/>
      <c r="X742" s="240"/>
      <c r="Y742" s="268"/>
      <c r="Z742" s="240"/>
      <c r="AA742" s="241"/>
    </row>
    <row r="743" spans="1:27" s="322" customFormat="1">
      <c r="A743" s="312"/>
      <c r="B743" s="76"/>
      <c r="C743" s="76"/>
      <c r="D743" s="324"/>
      <c r="E743" s="325"/>
      <c r="F743" s="325"/>
      <c r="G743" s="325"/>
      <c r="H743" s="325"/>
      <c r="I743" s="325"/>
      <c r="J743" s="325"/>
      <c r="K743" s="325"/>
      <c r="L743" s="325"/>
      <c r="M743" s="325"/>
      <c r="N743" s="303"/>
      <c r="O743" s="304"/>
      <c r="P743" s="312"/>
      <c r="Q743" s="314"/>
      <c r="R743" s="315"/>
      <c r="S743" s="307"/>
      <c r="T743" s="301"/>
      <c r="U743" s="301"/>
      <c r="W743" s="267"/>
      <c r="X743" s="240"/>
      <c r="Y743" s="268"/>
      <c r="Z743" s="240"/>
      <c r="AA743" s="241"/>
    </row>
    <row r="744" spans="1:27" s="322" customFormat="1">
      <c r="A744" s="312"/>
      <c r="B744" s="76"/>
      <c r="C744" s="76"/>
      <c r="D744" s="324"/>
      <c r="E744" s="325"/>
      <c r="F744" s="325"/>
      <c r="G744" s="325"/>
      <c r="H744" s="325"/>
      <c r="I744" s="325"/>
      <c r="J744" s="325"/>
      <c r="K744" s="325"/>
      <c r="L744" s="325"/>
      <c r="M744" s="325"/>
      <c r="N744" s="303"/>
      <c r="O744" s="304"/>
      <c r="P744" s="312"/>
      <c r="Q744" s="312"/>
      <c r="R744" s="76"/>
      <c r="S744" s="307"/>
      <c r="T744" s="301"/>
      <c r="U744" s="301"/>
      <c r="W744" s="267"/>
      <c r="X744" s="240"/>
      <c r="Y744" s="268"/>
      <c r="Z744" s="240"/>
      <c r="AA744" s="241"/>
    </row>
    <row r="745" spans="1:27" s="322" customFormat="1">
      <c r="A745" s="312"/>
      <c r="B745" s="76"/>
      <c r="C745" s="76"/>
      <c r="D745" s="324"/>
      <c r="E745" s="325"/>
      <c r="F745" s="325"/>
      <c r="G745" s="325"/>
      <c r="H745" s="325"/>
      <c r="I745" s="325"/>
      <c r="J745" s="325"/>
      <c r="K745" s="325"/>
      <c r="L745" s="325"/>
      <c r="M745" s="325"/>
      <c r="N745" s="303"/>
      <c r="O745" s="304"/>
      <c r="P745" s="312"/>
      <c r="Q745" s="312"/>
      <c r="R745" s="76"/>
      <c r="S745" s="307"/>
      <c r="T745" s="301"/>
      <c r="U745" s="301"/>
      <c r="W745" s="267"/>
      <c r="X745" s="240"/>
      <c r="Y745" s="268"/>
      <c r="Z745" s="240"/>
      <c r="AA745" s="241"/>
    </row>
    <row r="746" spans="1:27" s="322" customFormat="1">
      <c r="A746" s="312"/>
      <c r="B746" s="76"/>
      <c r="C746" s="76"/>
      <c r="D746" s="324"/>
      <c r="E746" s="325"/>
      <c r="F746" s="325"/>
      <c r="G746" s="325"/>
      <c r="H746" s="325"/>
      <c r="I746" s="325"/>
      <c r="J746" s="325"/>
      <c r="K746" s="325"/>
      <c r="L746" s="325"/>
      <c r="M746" s="325"/>
      <c r="N746" s="303"/>
      <c r="O746" s="304"/>
      <c r="P746" s="312"/>
      <c r="Q746" s="312"/>
      <c r="R746" s="76"/>
      <c r="S746" s="326"/>
      <c r="T746" s="301"/>
      <c r="U746" s="301"/>
      <c r="W746" s="267"/>
      <c r="X746" s="240"/>
      <c r="Y746" s="268"/>
      <c r="Z746" s="240"/>
      <c r="AA746" s="241"/>
    </row>
    <row r="747" spans="1:27" s="322" customFormat="1">
      <c r="A747" s="312"/>
      <c r="B747" s="76"/>
      <c r="C747" s="76"/>
      <c r="D747" s="324"/>
      <c r="E747" s="325"/>
      <c r="F747" s="325"/>
      <c r="G747" s="325"/>
      <c r="H747" s="325"/>
      <c r="I747" s="325"/>
      <c r="J747" s="325"/>
      <c r="K747" s="325"/>
      <c r="L747" s="325"/>
      <c r="M747" s="325"/>
      <c r="N747" s="303"/>
      <c r="O747" s="304"/>
      <c r="P747" s="312"/>
      <c r="Q747" s="312"/>
      <c r="R747" s="76"/>
      <c r="S747" s="307"/>
      <c r="T747" s="301"/>
      <c r="U747" s="301"/>
      <c r="W747" s="267"/>
      <c r="X747" s="240"/>
      <c r="Y747" s="268"/>
      <c r="Z747" s="240"/>
      <c r="AA747" s="241"/>
    </row>
    <row r="748" spans="1:27" s="322" customFormat="1">
      <c r="A748" s="312"/>
      <c r="B748" s="76"/>
      <c r="C748" s="76"/>
      <c r="D748" s="324"/>
      <c r="E748" s="325"/>
      <c r="F748" s="325"/>
      <c r="G748" s="325"/>
      <c r="H748" s="325"/>
      <c r="I748" s="325"/>
      <c r="J748" s="325"/>
      <c r="K748" s="325"/>
      <c r="L748" s="325"/>
      <c r="M748" s="325"/>
      <c r="N748" s="303"/>
      <c r="O748" s="304"/>
      <c r="P748" s="312"/>
      <c r="Q748" s="312"/>
      <c r="R748" s="76"/>
      <c r="S748" s="307"/>
      <c r="T748" s="301"/>
      <c r="U748" s="301"/>
      <c r="W748" s="267"/>
      <c r="X748" s="240"/>
      <c r="Y748" s="268"/>
      <c r="Z748" s="240"/>
      <c r="AA748" s="241"/>
    </row>
    <row r="749" spans="1:27" s="322" customFormat="1">
      <c r="A749" s="312"/>
      <c r="B749" s="76"/>
      <c r="C749" s="76"/>
      <c r="D749" s="324"/>
      <c r="E749" s="325"/>
      <c r="F749" s="325"/>
      <c r="G749" s="325"/>
      <c r="H749" s="325"/>
      <c r="I749" s="325"/>
      <c r="J749" s="325"/>
      <c r="K749" s="325"/>
      <c r="L749" s="325"/>
      <c r="M749" s="325"/>
      <c r="N749" s="303"/>
      <c r="O749" s="304"/>
      <c r="P749" s="312"/>
      <c r="Q749" s="312"/>
      <c r="R749" s="76"/>
      <c r="S749" s="307"/>
      <c r="T749" s="301"/>
      <c r="U749" s="301"/>
      <c r="W749" s="267"/>
      <c r="X749" s="240"/>
      <c r="Y749" s="268"/>
      <c r="Z749" s="240"/>
      <c r="AA749" s="241"/>
    </row>
    <row r="750" spans="1:27" s="322" customFormat="1">
      <c r="A750" s="312"/>
      <c r="B750" s="76"/>
      <c r="C750" s="76"/>
      <c r="D750" s="324"/>
      <c r="E750" s="325"/>
      <c r="F750" s="325"/>
      <c r="G750" s="325"/>
      <c r="H750" s="325"/>
      <c r="I750" s="325"/>
      <c r="J750" s="325"/>
      <c r="K750" s="325"/>
      <c r="L750" s="325"/>
      <c r="M750" s="325"/>
      <c r="N750" s="303"/>
      <c r="O750" s="304"/>
      <c r="P750" s="312"/>
      <c r="Q750" s="312"/>
      <c r="R750" s="76"/>
      <c r="S750" s="307"/>
      <c r="T750" s="301"/>
      <c r="U750" s="301"/>
      <c r="W750" s="267"/>
      <c r="X750" s="240"/>
      <c r="Y750" s="268"/>
      <c r="Z750" s="240"/>
      <c r="AA750" s="241"/>
    </row>
    <row r="751" spans="1:27" s="322" customFormat="1">
      <c r="A751" s="312"/>
      <c r="B751" s="76"/>
      <c r="C751" s="76"/>
      <c r="D751" s="324"/>
      <c r="E751" s="325"/>
      <c r="F751" s="325"/>
      <c r="G751" s="325"/>
      <c r="H751" s="325"/>
      <c r="I751" s="325"/>
      <c r="J751" s="325"/>
      <c r="K751" s="325"/>
      <c r="L751" s="325"/>
      <c r="M751" s="325"/>
      <c r="N751" s="303"/>
      <c r="O751" s="304"/>
      <c r="P751" s="312"/>
      <c r="Q751" s="312"/>
      <c r="R751" s="76"/>
      <c r="S751" s="307"/>
      <c r="T751" s="301"/>
      <c r="U751" s="301"/>
      <c r="W751" s="267"/>
      <c r="X751" s="240"/>
      <c r="Y751" s="268"/>
      <c r="Z751" s="240"/>
      <c r="AA751" s="241"/>
    </row>
    <row r="752" spans="1:27" s="322" customFormat="1">
      <c r="A752" s="312"/>
      <c r="B752" s="76"/>
      <c r="C752" s="76"/>
      <c r="D752" s="324"/>
      <c r="E752" s="325"/>
      <c r="F752" s="325"/>
      <c r="G752" s="325"/>
      <c r="H752" s="325"/>
      <c r="I752" s="325"/>
      <c r="J752" s="325"/>
      <c r="K752" s="325"/>
      <c r="L752" s="325"/>
      <c r="M752" s="325"/>
      <c r="N752" s="303"/>
      <c r="O752" s="304"/>
      <c r="P752" s="312"/>
      <c r="Q752" s="312"/>
      <c r="R752" s="76"/>
      <c r="S752" s="307"/>
      <c r="T752" s="301"/>
      <c r="U752" s="301"/>
      <c r="W752" s="267"/>
      <c r="X752" s="240"/>
      <c r="Y752" s="268"/>
      <c r="Z752" s="240"/>
      <c r="AA752" s="241"/>
    </row>
    <row r="753" spans="1:27" s="322" customFormat="1">
      <c r="A753" s="312"/>
      <c r="B753" s="76"/>
      <c r="C753" s="76"/>
      <c r="D753" s="324"/>
      <c r="E753" s="325"/>
      <c r="F753" s="325"/>
      <c r="G753" s="325"/>
      <c r="H753" s="325"/>
      <c r="I753" s="325"/>
      <c r="J753" s="325"/>
      <c r="K753" s="325"/>
      <c r="L753" s="325"/>
      <c r="M753" s="325"/>
      <c r="N753" s="303"/>
      <c r="O753" s="304"/>
      <c r="P753" s="312"/>
      <c r="Q753" s="312"/>
      <c r="R753" s="76"/>
      <c r="S753" s="307"/>
      <c r="T753" s="301"/>
      <c r="U753" s="301"/>
      <c r="W753" s="267"/>
      <c r="X753" s="240"/>
      <c r="Y753" s="268"/>
      <c r="Z753" s="240"/>
      <c r="AA753" s="241"/>
    </row>
    <row r="754" spans="1:27" s="322" customFormat="1">
      <c r="A754" s="312"/>
      <c r="B754" s="76"/>
      <c r="C754" s="76"/>
      <c r="D754" s="324"/>
      <c r="E754" s="325"/>
      <c r="F754" s="325"/>
      <c r="G754" s="325"/>
      <c r="H754" s="325"/>
      <c r="I754" s="325"/>
      <c r="J754" s="325"/>
      <c r="K754" s="325"/>
      <c r="L754" s="325"/>
      <c r="M754" s="325"/>
      <c r="N754" s="303"/>
      <c r="O754" s="304"/>
      <c r="P754" s="312"/>
      <c r="Q754" s="312"/>
      <c r="R754" s="76"/>
      <c r="S754" s="307"/>
      <c r="T754" s="301"/>
      <c r="U754" s="301"/>
      <c r="W754" s="267"/>
      <c r="X754" s="240"/>
      <c r="Y754" s="268"/>
      <c r="Z754" s="240"/>
      <c r="AA754" s="241"/>
    </row>
    <row r="755" spans="1:27" s="322" customFormat="1">
      <c r="A755" s="312"/>
      <c r="B755" s="76"/>
      <c r="C755" s="76"/>
      <c r="D755" s="324"/>
      <c r="E755" s="325"/>
      <c r="F755" s="325"/>
      <c r="G755" s="325"/>
      <c r="H755" s="325"/>
      <c r="I755" s="325"/>
      <c r="J755" s="325"/>
      <c r="K755" s="325"/>
      <c r="L755" s="325"/>
      <c r="M755" s="325"/>
      <c r="N755" s="303"/>
      <c r="O755" s="304"/>
      <c r="P755" s="312"/>
      <c r="Q755" s="312"/>
      <c r="R755" s="76"/>
      <c r="S755" s="307"/>
      <c r="T755" s="301"/>
      <c r="U755" s="301"/>
      <c r="W755" s="267"/>
      <c r="X755" s="240"/>
      <c r="Y755" s="268"/>
      <c r="Z755" s="240"/>
      <c r="AA755" s="241"/>
    </row>
    <row r="756" spans="1:27" s="322" customFormat="1">
      <c r="A756" s="312"/>
      <c r="B756" s="76"/>
      <c r="C756" s="76"/>
      <c r="D756" s="324"/>
      <c r="E756" s="325"/>
      <c r="F756" s="325"/>
      <c r="G756" s="325"/>
      <c r="H756" s="325"/>
      <c r="I756" s="325"/>
      <c r="J756" s="325"/>
      <c r="K756" s="325"/>
      <c r="L756" s="325"/>
      <c r="M756" s="325"/>
      <c r="N756" s="303"/>
      <c r="O756" s="304"/>
      <c r="P756" s="312"/>
      <c r="Q756" s="312"/>
      <c r="R756" s="76"/>
      <c r="S756" s="307"/>
      <c r="T756" s="301"/>
      <c r="U756" s="301"/>
      <c r="W756" s="267"/>
      <c r="X756" s="240"/>
      <c r="Y756" s="268"/>
      <c r="Z756" s="240"/>
      <c r="AA756" s="241"/>
    </row>
    <row r="757" spans="1:27" s="322" customFormat="1">
      <c r="A757" s="312"/>
      <c r="B757" s="76"/>
      <c r="C757" s="76"/>
      <c r="D757" s="324"/>
      <c r="E757" s="325"/>
      <c r="F757" s="325"/>
      <c r="G757" s="325"/>
      <c r="H757" s="325"/>
      <c r="I757" s="325"/>
      <c r="J757" s="325"/>
      <c r="K757" s="325"/>
      <c r="L757" s="325"/>
      <c r="M757" s="325"/>
      <c r="N757" s="303"/>
      <c r="O757" s="304"/>
      <c r="P757" s="312"/>
      <c r="Q757" s="312"/>
      <c r="R757" s="76"/>
      <c r="S757" s="307"/>
      <c r="T757" s="301"/>
      <c r="U757" s="301"/>
      <c r="W757" s="267"/>
      <c r="X757" s="240"/>
      <c r="Y757" s="268"/>
      <c r="Z757" s="240"/>
      <c r="AA757" s="241"/>
    </row>
    <row r="758" spans="1:27" s="322" customFormat="1">
      <c r="A758" s="312"/>
      <c r="B758" s="76"/>
      <c r="C758" s="76"/>
      <c r="D758" s="324"/>
      <c r="E758" s="325"/>
      <c r="F758" s="325"/>
      <c r="G758" s="325"/>
      <c r="H758" s="325"/>
      <c r="I758" s="325"/>
      <c r="J758" s="325"/>
      <c r="K758" s="325"/>
      <c r="L758" s="325"/>
      <c r="M758" s="325"/>
      <c r="N758" s="303"/>
      <c r="O758" s="304"/>
      <c r="P758" s="312"/>
      <c r="Q758" s="314"/>
      <c r="R758" s="315"/>
      <c r="S758" s="307"/>
      <c r="T758" s="301"/>
      <c r="U758" s="301"/>
      <c r="W758" s="267"/>
      <c r="X758" s="240"/>
      <c r="Y758" s="268"/>
      <c r="Z758" s="240"/>
      <c r="AA758" s="241"/>
    </row>
    <row r="759" spans="1:27" s="322" customFormat="1">
      <c r="A759" s="312"/>
      <c r="B759" s="76"/>
      <c r="C759" s="76"/>
      <c r="D759" s="324"/>
      <c r="E759" s="325"/>
      <c r="F759" s="325"/>
      <c r="G759" s="325"/>
      <c r="H759" s="325"/>
      <c r="I759" s="325"/>
      <c r="J759" s="325"/>
      <c r="K759" s="325"/>
      <c r="L759" s="325"/>
      <c r="M759" s="325"/>
      <c r="N759" s="303"/>
      <c r="O759" s="304"/>
      <c r="P759" s="312"/>
      <c r="Q759" s="314"/>
      <c r="R759" s="315"/>
      <c r="S759" s="307"/>
      <c r="T759" s="301"/>
      <c r="U759" s="301"/>
      <c r="W759" s="267"/>
      <c r="X759" s="240"/>
      <c r="Y759" s="268"/>
      <c r="Z759" s="240"/>
      <c r="AA759" s="241"/>
    </row>
    <row r="760" spans="1:27" s="322" customFormat="1">
      <c r="A760" s="312"/>
      <c r="B760" s="76"/>
      <c r="C760" s="76"/>
      <c r="D760" s="324"/>
      <c r="E760" s="325"/>
      <c r="F760" s="325"/>
      <c r="G760" s="325"/>
      <c r="H760" s="325"/>
      <c r="I760" s="325"/>
      <c r="J760" s="325"/>
      <c r="K760" s="325"/>
      <c r="L760" s="325"/>
      <c r="M760" s="325"/>
      <c r="N760" s="303"/>
      <c r="O760" s="304"/>
      <c r="P760" s="312"/>
      <c r="Q760" s="314"/>
      <c r="R760" s="315"/>
      <c r="S760" s="307"/>
      <c r="T760" s="301"/>
      <c r="U760" s="301"/>
      <c r="W760" s="267"/>
      <c r="X760" s="240"/>
      <c r="Y760" s="268"/>
      <c r="Z760" s="240"/>
      <c r="AA760" s="241"/>
    </row>
    <row r="761" spans="1:27" s="322" customFormat="1">
      <c r="A761" s="312"/>
      <c r="B761" s="76"/>
      <c r="C761" s="76"/>
      <c r="D761" s="324"/>
      <c r="E761" s="325"/>
      <c r="F761" s="325"/>
      <c r="G761" s="325"/>
      <c r="H761" s="325"/>
      <c r="I761" s="325"/>
      <c r="J761" s="325"/>
      <c r="K761" s="325"/>
      <c r="L761" s="325"/>
      <c r="M761" s="325"/>
      <c r="N761" s="303"/>
      <c r="O761" s="304"/>
      <c r="P761" s="312"/>
      <c r="Q761" s="314"/>
      <c r="R761" s="315"/>
      <c r="S761" s="307"/>
      <c r="T761" s="301"/>
      <c r="U761" s="301"/>
      <c r="W761" s="267"/>
      <c r="X761" s="240"/>
      <c r="Y761" s="268"/>
      <c r="Z761" s="240"/>
      <c r="AA761" s="241"/>
    </row>
    <row r="762" spans="1:27" s="322" customFormat="1">
      <c r="A762" s="312"/>
      <c r="B762" s="76"/>
      <c r="C762" s="76"/>
      <c r="D762" s="324"/>
      <c r="E762" s="325"/>
      <c r="F762" s="325"/>
      <c r="G762" s="325"/>
      <c r="H762" s="325"/>
      <c r="I762" s="325"/>
      <c r="J762" s="325"/>
      <c r="K762" s="325"/>
      <c r="L762" s="325"/>
      <c r="M762" s="325"/>
      <c r="N762" s="303"/>
      <c r="O762" s="304"/>
      <c r="P762" s="312"/>
      <c r="Q762" s="314"/>
      <c r="R762" s="315"/>
      <c r="S762" s="307"/>
      <c r="T762" s="301"/>
      <c r="U762" s="301"/>
      <c r="W762" s="267"/>
      <c r="X762" s="240"/>
      <c r="Y762" s="268"/>
      <c r="Z762" s="240"/>
      <c r="AA762" s="241"/>
    </row>
    <row r="763" spans="1:27" s="322" customFormat="1">
      <c r="A763" s="312"/>
      <c r="B763" s="76"/>
      <c r="C763" s="76"/>
      <c r="D763" s="324"/>
      <c r="E763" s="325"/>
      <c r="F763" s="325"/>
      <c r="G763" s="325"/>
      <c r="H763" s="325"/>
      <c r="I763" s="325"/>
      <c r="J763" s="325"/>
      <c r="K763" s="325"/>
      <c r="L763" s="325"/>
      <c r="M763" s="325"/>
      <c r="N763" s="303"/>
      <c r="O763" s="304"/>
      <c r="P763" s="312"/>
      <c r="Q763" s="314"/>
      <c r="R763" s="315"/>
      <c r="S763" s="307"/>
      <c r="T763" s="301"/>
      <c r="U763" s="301"/>
      <c r="W763" s="267"/>
      <c r="X763" s="240"/>
      <c r="Y763" s="268"/>
      <c r="Z763" s="240"/>
      <c r="AA763" s="241"/>
    </row>
    <row r="764" spans="1:27" s="322" customFormat="1">
      <c r="A764" s="312"/>
      <c r="B764" s="76"/>
      <c r="C764" s="76"/>
      <c r="D764" s="324"/>
      <c r="E764" s="325"/>
      <c r="F764" s="325"/>
      <c r="G764" s="325"/>
      <c r="H764" s="325"/>
      <c r="I764" s="325"/>
      <c r="J764" s="325"/>
      <c r="K764" s="325"/>
      <c r="L764" s="325"/>
      <c r="M764" s="325"/>
      <c r="N764" s="303"/>
      <c r="O764" s="304"/>
      <c r="P764" s="312"/>
      <c r="Q764" s="314"/>
      <c r="R764" s="315"/>
      <c r="S764" s="307"/>
      <c r="T764" s="301"/>
      <c r="U764" s="301"/>
      <c r="W764" s="267"/>
      <c r="X764" s="240"/>
      <c r="Y764" s="268"/>
      <c r="Z764" s="240"/>
      <c r="AA764" s="241"/>
    </row>
    <row r="765" spans="1:27" s="322" customFormat="1">
      <c r="A765" s="312"/>
      <c r="B765" s="76"/>
      <c r="C765" s="76"/>
      <c r="D765" s="324"/>
      <c r="E765" s="325"/>
      <c r="F765" s="325"/>
      <c r="G765" s="325"/>
      <c r="H765" s="325"/>
      <c r="I765" s="325"/>
      <c r="J765" s="325"/>
      <c r="K765" s="325"/>
      <c r="L765" s="325"/>
      <c r="M765" s="325"/>
      <c r="N765" s="303"/>
      <c r="O765" s="304"/>
      <c r="P765" s="312"/>
      <c r="Q765" s="314"/>
      <c r="R765" s="315"/>
      <c r="S765" s="307"/>
      <c r="T765" s="301"/>
      <c r="U765" s="301"/>
      <c r="W765" s="267"/>
      <c r="X765" s="240"/>
      <c r="Y765" s="268"/>
      <c r="Z765" s="240"/>
      <c r="AA765" s="241"/>
    </row>
    <row r="766" spans="1:27" s="322" customFormat="1">
      <c r="A766" s="312"/>
      <c r="B766" s="76"/>
      <c r="C766" s="76"/>
      <c r="D766" s="324"/>
      <c r="E766" s="325"/>
      <c r="F766" s="325"/>
      <c r="G766" s="325"/>
      <c r="H766" s="325"/>
      <c r="I766" s="325"/>
      <c r="J766" s="325"/>
      <c r="K766" s="325"/>
      <c r="L766" s="325"/>
      <c r="M766" s="325"/>
      <c r="N766" s="303"/>
      <c r="O766" s="304"/>
      <c r="P766" s="312"/>
      <c r="Q766" s="314"/>
      <c r="R766" s="315"/>
      <c r="S766" s="307"/>
      <c r="T766" s="301"/>
      <c r="U766" s="301"/>
      <c r="W766" s="267"/>
      <c r="X766" s="240"/>
      <c r="Y766" s="268"/>
      <c r="Z766" s="240"/>
      <c r="AA766" s="241"/>
    </row>
    <row r="767" spans="1:27" s="322" customFormat="1">
      <c r="A767" s="312"/>
      <c r="B767" s="76"/>
      <c r="C767" s="76"/>
      <c r="D767" s="324"/>
      <c r="E767" s="325"/>
      <c r="F767" s="325"/>
      <c r="G767" s="325"/>
      <c r="H767" s="325"/>
      <c r="I767" s="325"/>
      <c r="J767" s="325"/>
      <c r="K767" s="325"/>
      <c r="L767" s="325"/>
      <c r="M767" s="325"/>
      <c r="N767" s="303"/>
      <c r="O767" s="304"/>
      <c r="P767" s="312"/>
      <c r="Q767" s="314"/>
      <c r="R767" s="315"/>
      <c r="S767" s="307"/>
      <c r="T767" s="301"/>
      <c r="U767" s="301"/>
      <c r="W767" s="267"/>
      <c r="X767" s="240"/>
      <c r="Y767" s="268"/>
      <c r="Z767" s="240"/>
      <c r="AA767" s="241"/>
    </row>
    <row r="768" spans="1:27" s="322" customFormat="1">
      <c r="A768" s="312"/>
      <c r="B768" s="76"/>
      <c r="C768" s="76"/>
      <c r="D768" s="324"/>
      <c r="E768" s="325"/>
      <c r="F768" s="325"/>
      <c r="G768" s="325"/>
      <c r="H768" s="325"/>
      <c r="I768" s="325"/>
      <c r="J768" s="325"/>
      <c r="K768" s="325"/>
      <c r="L768" s="325"/>
      <c r="M768" s="325"/>
      <c r="N768" s="303"/>
      <c r="O768" s="304"/>
      <c r="P768" s="312"/>
      <c r="Q768" s="314"/>
      <c r="R768" s="315"/>
      <c r="S768" s="307"/>
      <c r="T768" s="301"/>
      <c r="U768" s="301"/>
      <c r="W768" s="267"/>
      <c r="X768" s="240"/>
      <c r="Y768" s="268"/>
      <c r="Z768" s="240"/>
      <c r="AA768" s="241"/>
    </row>
    <row r="769" spans="1:27" s="322" customFormat="1">
      <c r="A769" s="312"/>
      <c r="B769" s="76"/>
      <c r="C769" s="76"/>
      <c r="D769" s="324"/>
      <c r="E769" s="325"/>
      <c r="F769" s="325"/>
      <c r="G769" s="325"/>
      <c r="H769" s="325"/>
      <c r="I769" s="325"/>
      <c r="J769" s="325"/>
      <c r="K769" s="325"/>
      <c r="L769" s="325"/>
      <c r="M769" s="325"/>
      <c r="N769" s="303"/>
      <c r="O769" s="304"/>
      <c r="P769" s="312"/>
      <c r="Q769" s="314"/>
      <c r="R769" s="315"/>
      <c r="S769" s="307"/>
      <c r="T769" s="301"/>
      <c r="U769" s="301"/>
      <c r="W769" s="267"/>
      <c r="X769" s="240"/>
      <c r="Y769" s="268"/>
      <c r="Z769" s="240"/>
      <c r="AA769" s="241"/>
    </row>
    <row r="770" spans="1:27" s="322" customFormat="1">
      <c r="A770" s="312"/>
      <c r="B770" s="76"/>
      <c r="C770" s="76"/>
      <c r="D770" s="324"/>
      <c r="E770" s="325"/>
      <c r="F770" s="325"/>
      <c r="G770" s="325"/>
      <c r="H770" s="325"/>
      <c r="I770" s="325"/>
      <c r="J770" s="325"/>
      <c r="K770" s="325"/>
      <c r="L770" s="325"/>
      <c r="M770" s="325"/>
      <c r="N770" s="303"/>
      <c r="O770" s="304"/>
      <c r="P770" s="312"/>
      <c r="Q770" s="314"/>
      <c r="R770" s="315"/>
      <c r="S770" s="307"/>
      <c r="T770" s="301"/>
      <c r="U770" s="301"/>
      <c r="W770" s="267"/>
      <c r="X770" s="240"/>
      <c r="Y770" s="268"/>
      <c r="Z770" s="240"/>
      <c r="AA770" s="241"/>
    </row>
    <row r="771" spans="1:27" s="322" customFormat="1">
      <c r="A771" s="312"/>
      <c r="B771" s="76"/>
      <c r="C771" s="76"/>
      <c r="D771" s="324"/>
      <c r="E771" s="325"/>
      <c r="F771" s="325"/>
      <c r="G771" s="325"/>
      <c r="H771" s="325"/>
      <c r="I771" s="325"/>
      <c r="J771" s="325"/>
      <c r="K771" s="325"/>
      <c r="L771" s="325"/>
      <c r="M771" s="325"/>
      <c r="N771" s="303"/>
      <c r="O771" s="304"/>
      <c r="P771" s="312"/>
      <c r="Q771" s="314"/>
      <c r="R771" s="315"/>
      <c r="S771" s="307"/>
      <c r="T771" s="301"/>
      <c r="U771" s="301"/>
      <c r="W771" s="267"/>
      <c r="X771" s="240"/>
      <c r="Y771" s="268"/>
      <c r="Z771" s="240"/>
      <c r="AA771" s="241"/>
    </row>
    <row r="772" spans="1:27" s="322" customFormat="1">
      <c r="A772" s="312"/>
      <c r="B772" s="76"/>
      <c r="C772" s="76"/>
      <c r="D772" s="324"/>
      <c r="E772" s="325"/>
      <c r="F772" s="325"/>
      <c r="G772" s="325"/>
      <c r="H772" s="325"/>
      <c r="I772" s="325"/>
      <c r="J772" s="325"/>
      <c r="K772" s="325"/>
      <c r="L772" s="325"/>
      <c r="M772" s="325"/>
      <c r="N772" s="303"/>
      <c r="O772" s="304"/>
      <c r="P772" s="312"/>
      <c r="Q772" s="314"/>
      <c r="R772" s="315"/>
      <c r="S772" s="307"/>
      <c r="T772" s="301"/>
      <c r="U772" s="301"/>
      <c r="W772" s="267"/>
      <c r="X772" s="240"/>
      <c r="Y772" s="268"/>
      <c r="Z772" s="240"/>
      <c r="AA772" s="241"/>
    </row>
    <row r="773" spans="1:27" s="322" customFormat="1">
      <c r="A773" s="312"/>
      <c r="B773" s="76"/>
      <c r="C773" s="76"/>
      <c r="D773" s="324"/>
      <c r="E773" s="325"/>
      <c r="F773" s="325"/>
      <c r="G773" s="325"/>
      <c r="H773" s="325"/>
      <c r="I773" s="325"/>
      <c r="J773" s="325"/>
      <c r="K773" s="325"/>
      <c r="L773" s="325"/>
      <c r="M773" s="325"/>
      <c r="N773" s="303"/>
      <c r="O773" s="304"/>
      <c r="P773" s="312"/>
      <c r="Q773" s="312"/>
      <c r="R773" s="76"/>
      <c r="S773" s="327"/>
      <c r="T773" s="301"/>
      <c r="U773" s="301"/>
      <c r="W773" s="267"/>
      <c r="X773" s="240"/>
      <c r="Y773" s="268"/>
      <c r="Z773" s="240"/>
      <c r="AA773" s="241"/>
    </row>
    <row r="774" spans="1:27" s="322" customFormat="1">
      <c r="A774" s="312"/>
      <c r="B774" s="76"/>
      <c r="C774" s="76"/>
      <c r="D774" s="324"/>
      <c r="E774" s="325"/>
      <c r="F774" s="325"/>
      <c r="G774" s="325"/>
      <c r="H774" s="325"/>
      <c r="I774" s="325"/>
      <c r="J774" s="325"/>
      <c r="K774" s="325"/>
      <c r="L774" s="325"/>
      <c r="M774" s="325"/>
      <c r="N774" s="303"/>
      <c r="O774" s="304"/>
      <c r="P774" s="312"/>
      <c r="Q774" s="312"/>
      <c r="R774" s="76"/>
      <c r="S774" s="307"/>
      <c r="T774" s="301"/>
      <c r="U774" s="301"/>
      <c r="W774" s="267"/>
      <c r="X774" s="240"/>
      <c r="Y774" s="268"/>
      <c r="Z774" s="240"/>
      <c r="AA774" s="241"/>
    </row>
    <row r="775" spans="1:27" s="322" customFormat="1">
      <c r="A775" s="312"/>
      <c r="B775" s="76"/>
      <c r="C775" s="76"/>
      <c r="D775" s="324"/>
      <c r="E775" s="325"/>
      <c r="F775" s="325"/>
      <c r="G775" s="325"/>
      <c r="H775" s="325"/>
      <c r="I775" s="325"/>
      <c r="J775" s="325"/>
      <c r="K775" s="325"/>
      <c r="L775" s="325"/>
      <c r="M775" s="325"/>
      <c r="N775" s="303"/>
      <c r="O775" s="304"/>
      <c r="P775" s="312"/>
      <c r="Q775" s="328"/>
      <c r="R775" s="329"/>
      <c r="S775" s="307"/>
      <c r="T775" s="301"/>
      <c r="U775" s="301"/>
      <c r="W775" s="267"/>
      <c r="X775" s="240"/>
      <c r="Y775" s="268"/>
      <c r="Z775" s="240"/>
      <c r="AA775" s="241"/>
    </row>
    <row r="776" spans="1:27" s="322" customFormat="1">
      <c r="A776" s="312"/>
      <c r="B776" s="76"/>
      <c r="C776" s="76"/>
      <c r="D776" s="324"/>
      <c r="E776" s="325"/>
      <c r="F776" s="325"/>
      <c r="G776" s="325"/>
      <c r="H776" s="325"/>
      <c r="I776" s="325"/>
      <c r="J776" s="325"/>
      <c r="K776" s="325"/>
      <c r="L776" s="325"/>
      <c r="M776" s="325"/>
      <c r="N776" s="303"/>
      <c r="O776" s="304"/>
      <c r="P776" s="312"/>
      <c r="Q776" s="328"/>
      <c r="R776" s="329"/>
      <c r="S776" s="307"/>
      <c r="T776" s="301"/>
      <c r="U776" s="301"/>
      <c r="W776" s="267"/>
      <c r="X776" s="240"/>
      <c r="Y776" s="268"/>
      <c r="Z776" s="240"/>
      <c r="AA776" s="241"/>
    </row>
    <row r="777" spans="1:27" s="322" customFormat="1">
      <c r="A777" s="312"/>
      <c r="B777" s="76"/>
      <c r="C777" s="76"/>
      <c r="D777" s="324"/>
      <c r="E777" s="325"/>
      <c r="F777" s="325"/>
      <c r="G777" s="325"/>
      <c r="H777" s="325"/>
      <c r="I777" s="325"/>
      <c r="J777" s="325"/>
      <c r="K777" s="325"/>
      <c r="L777" s="325"/>
      <c r="M777" s="325"/>
      <c r="N777" s="303"/>
      <c r="O777" s="304"/>
      <c r="P777" s="312"/>
      <c r="Q777" s="328"/>
      <c r="R777" s="329"/>
      <c r="S777" s="307"/>
      <c r="T777" s="301"/>
      <c r="U777" s="301"/>
      <c r="W777" s="267"/>
      <c r="X777" s="240"/>
      <c r="Y777" s="268"/>
      <c r="Z777" s="240"/>
      <c r="AA777" s="241"/>
    </row>
    <row r="778" spans="1:27" s="322" customFormat="1">
      <c r="A778" s="312"/>
      <c r="B778" s="76"/>
      <c r="C778" s="76"/>
      <c r="D778" s="324"/>
      <c r="E778" s="325"/>
      <c r="F778" s="325"/>
      <c r="G778" s="325"/>
      <c r="H778" s="325"/>
      <c r="I778" s="325"/>
      <c r="J778" s="325"/>
      <c r="K778" s="325"/>
      <c r="L778" s="325"/>
      <c r="M778" s="325"/>
      <c r="N778" s="303"/>
      <c r="O778" s="304"/>
      <c r="P778" s="312"/>
      <c r="Q778" s="328"/>
      <c r="R778" s="329"/>
      <c r="S778" s="307"/>
      <c r="T778" s="301"/>
      <c r="U778" s="301"/>
      <c r="W778" s="267"/>
      <c r="X778" s="240"/>
      <c r="Y778" s="268"/>
      <c r="Z778" s="240"/>
      <c r="AA778" s="241"/>
    </row>
    <row r="779" spans="1:27" s="322" customFormat="1">
      <c r="A779" s="312"/>
      <c r="B779" s="76"/>
      <c r="C779" s="76"/>
      <c r="D779" s="324"/>
      <c r="E779" s="325"/>
      <c r="F779" s="325"/>
      <c r="G779" s="325"/>
      <c r="H779" s="325"/>
      <c r="I779" s="325"/>
      <c r="J779" s="325"/>
      <c r="K779" s="325"/>
      <c r="L779" s="325"/>
      <c r="M779" s="325"/>
      <c r="N779" s="303"/>
      <c r="O779" s="304"/>
      <c r="P779" s="312"/>
      <c r="Q779" s="328"/>
      <c r="R779" s="329"/>
      <c r="S779" s="307"/>
      <c r="T779" s="301"/>
      <c r="U779" s="301"/>
      <c r="W779" s="267"/>
      <c r="X779" s="240"/>
      <c r="Y779" s="268"/>
      <c r="Z779" s="240"/>
      <c r="AA779" s="241"/>
    </row>
    <row r="780" spans="1:27" s="322" customFormat="1">
      <c r="A780" s="312"/>
      <c r="B780" s="76"/>
      <c r="C780" s="76"/>
      <c r="D780" s="324"/>
      <c r="E780" s="325"/>
      <c r="F780" s="325"/>
      <c r="G780" s="325"/>
      <c r="H780" s="325"/>
      <c r="I780" s="325"/>
      <c r="J780" s="325"/>
      <c r="K780" s="325"/>
      <c r="L780" s="325"/>
      <c r="M780" s="325"/>
      <c r="N780" s="303"/>
      <c r="O780" s="304"/>
      <c r="P780" s="312"/>
      <c r="Q780" s="328"/>
      <c r="R780" s="329"/>
      <c r="S780" s="307"/>
      <c r="T780" s="301"/>
      <c r="U780" s="301"/>
      <c r="W780" s="267"/>
      <c r="X780" s="240"/>
      <c r="Y780" s="268"/>
      <c r="Z780" s="240"/>
      <c r="AA780" s="241"/>
    </row>
    <row r="781" spans="1:27" s="322" customFormat="1">
      <c r="A781" s="312"/>
      <c r="B781" s="76"/>
      <c r="C781" s="76"/>
      <c r="D781" s="324"/>
      <c r="E781" s="325"/>
      <c r="F781" s="325"/>
      <c r="G781" s="325"/>
      <c r="H781" s="325"/>
      <c r="I781" s="325"/>
      <c r="J781" s="325"/>
      <c r="K781" s="325"/>
      <c r="L781" s="325"/>
      <c r="M781" s="325"/>
      <c r="N781" s="303"/>
      <c r="O781" s="304"/>
      <c r="P781" s="312"/>
      <c r="Q781" s="328"/>
      <c r="R781" s="329"/>
      <c r="S781" s="307"/>
      <c r="T781" s="301"/>
      <c r="U781" s="301"/>
      <c r="W781" s="267"/>
      <c r="X781" s="240"/>
      <c r="Y781" s="268"/>
      <c r="Z781" s="240"/>
      <c r="AA781" s="241"/>
    </row>
    <row r="782" spans="1:27" s="322" customFormat="1">
      <c r="A782" s="312"/>
      <c r="B782" s="76"/>
      <c r="C782" s="76"/>
      <c r="D782" s="324"/>
      <c r="E782" s="325"/>
      <c r="F782" s="325"/>
      <c r="G782" s="325"/>
      <c r="H782" s="325"/>
      <c r="I782" s="325"/>
      <c r="J782" s="325"/>
      <c r="K782" s="325"/>
      <c r="L782" s="325"/>
      <c r="M782" s="325"/>
      <c r="N782" s="303"/>
      <c r="O782" s="304"/>
      <c r="P782" s="312"/>
      <c r="Q782" s="328"/>
      <c r="R782" s="329"/>
      <c r="S782" s="307"/>
      <c r="T782" s="301"/>
      <c r="U782" s="301"/>
      <c r="W782" s="267"/>
      <c r="X782" s="240"/>
      <c r="Y782" s="268"/>
      <c r="Z782" s="240"/>
      <c r="AA782" s="241"/>
    </row>
    <row r="783" spans="1:27" s="322" customFormat="1">
      <c r="A783" s="312"/>
      <c r="B783" s="76"/>
      <c r="C783" s="76"/>
      <c r="D783" s="324"/>
      <c r="E783" s="325"/>
      <c r="F783" s="325"/>
      <c r="G783" s="325"/>
      <c r="H783" s="325"/>
      <c r="I783" s="325"/>
      <c r="J783" s="325"/>
      <c r="K783" s="325"/>
      <c r="L783" s="325"/>
      <c r="M783" s="325"/>
      <c r="N783" s="303"/>
      <c r="O783" s="304"/>
      <c r="P783" s="312"/>
      <c r="Q783" s="328"/>
      <c r="R783" s="329"/>
      <c r="S783" s="307"/>
      <c r="T783" s="301"/>
      <c r="U783" s="301"/>
      <c r="W783" s="267"/>
      <c r="X783" s="240"/>
      <c r="Y783" s="268"/>
      <c r="Z783" s="240"/>
      <c r="AA783" s="241"/>
    </row>
    <row r="784" spans="1:27" s="322" customFormat="1">
      <c r="A784" s="312"/>
      <c r="B784" s="76"/>
      <c r="C784" s="76"/>
      <c r="D784" s="324"/>
      <c r="E784" s="325"/>
      <c r="F784" s="325"/>
      <c r="G784" s="325"/>
      <c r="H784" s="325"/>
      <c r="I784" s="325"/>
      <c r="J784" s="325"/>
      <c r="K784" s="325"/>
      <c r="L784" s="325"/>
      <c r="M784" s="325"/>
      <c r="N784" s="303"/>
      <c r="O784" s="304"/>
      <c r="P784" s="312"/>
      <c r="Q784" s="328"/>
      <c r="R784" s="329"/>
      <c r="S784" s="307"/>
      <c r="T784" s="301"/>
      <c r="U784" s="301"/>
      <c r="W784" s="267"/>
      <c r="X784" s="240"/>
      <c r="Y784" s="268"/>
      <c r="Z784" s="240"/>
      <c r="AA784" s="241"/>
    </row>
    <row r="785" spans="1:27" s="322" customFormat="1">
      <c r="A785" s="312"/>
      <c r="B785" s="76"/>
      <c r="C785" s="76"/>
      <c r="D785" s="324"/>
      <c r="E785" s="325"/>
      <c r="F785" s="325"/>
      <c r="G785" s="325"/>
      <c r="H785" s="325"/>
      <c r="I785" s="325"/>
      <c r="J785" s="325"/>
      <c r="K785" s="325"/>
      <c r="L785" s="325"/>
      <c r="M785" s="325"/>
      <c r="N785" s="303"/>
      <c r="O785" s="304"/>
      <c r="P785" s="312"/>
      <c r="Q785" s="328"/>
      <c r="R785" s="329"/>
      <c r="S785" s="307"/>
      <c r="T785" s="301"/>
      <c r="U785" s="301"/>
      <c r="W785" s="267"/>
      <c r="X785" s="240"/>
      <c r="Y785" s="268"/>
      <c r="Z785" s="240"/>
      <c r="AA785" s="241"/>
    </row>
    <row r="786" spans="1:27" s="322" customFormat="1">
      <c r="A786" s="312"/>
      <c r="B786" s="76"/>
      <c r="C786" s="76"/>
      <c r="D786" s="324"/>
      <c r="E786" s="325"/>
      <c r="F786" s="325"/>
      <c r="G786" s="325"/>
      <c r="H786" s="325"/>
      <c r="I786" s="325"/>
      <c r="J786" s="325"/>
      <c r="K786" s="325"/>
      <c r="L786" s="325"/>
      <c r="M786" s="325"/>
      <c r="N786" s="303"/>
      <c r="O786" s="304"/>
      <c r="P786" s="312"/>
      <c r="Q786" s="328"/>
      <c r="R786" s="329"/>
      <c r="S786" s="307"/>
      <c r="T786" s="301"/>
      <c r="U786" s="301"/>
      <c r="W786" s="267"/>
      <c r="X786" s="240"/>
      <c r="Y786" s="268"/>
      <c r="Z786" s="240"/>
      <c r="AA786" s="241"/>
    </row>
    <row r="787" spans="1:27" s="322" customFormat="1">
      <c r="A787" s="312"/>
      <c r="B787" s="76"/>
      <c r="C787" s="76"/>
      <c r="D787" s="324"/>
      <c r="E787" s="325"/>
      <c r="F787" s="325"/>
      <c r="G787" s="325"/>
      <c r="H787" s="325"/>
      <c r="I787" s="325"/>
      <c r="J787" s="325"/>
      <c r="K787" s="325"/>
      <c r="L787" s="325"/>
      <c r="M787" s="325"/>
      <c r="N787" s="303"/>
      <c r="O787" s="304"/>
      <c r="P787" s="312"/>
      <c r="Q787" s="328"/>
      <c r="R787" s="329"/>
      <c r="S787" s="307"/>
      <c r="T787" s="301"/>
      <c r="U787" s="301"/>
      <c r="W787" s="267"/>
      <c r="X787" s="240"/>
      <c r="Y787" s="268"/>
      <c r="Z787" s="240"/>
      <c r="AA787" s="241"/>
    </row>
    <row r="788" spans="1:27" s="322" customFormat="1">
      <c r="A788" s="312"/>
      <c r="B788" s="76"/>
      <c r="C788" s="76"/>
      <c r="D788" s="324"/>
      <c r="E788" s="325"/>
      <c r="F788" s="325"/>
      <c r="G788" s="325"/>
      <c r="H788" s="325"/>
      <c r="I788" s="325"/>
      <c r="J788" s="325"/>
      <c r="K788" s="325"/>
      <c r="L788" s="325"/>
      <c r="M788" s="325"/>
      <c r="N788" s="303"/>
      <c r="O788" s="304"/>
      <c r="P788" s="312"/>
      <c r="Q788" s="328"/>
      <c r="R788" s="329"/>
      <c r="S788" s="307"/>
      <c r="T788" s="301"/>
      <c r="U788" s="301"/>
      <c r="W788" s="267"/>
      <c r="X788" s="240"/>
      <c r="Y788" s="268"/>
      <c r="Z788" s="240"/>
      <c r="AA788" s="241"/>
    </row>
    <row r="789" spans="1:27" s="322" customFormat="1">
      <c r="A789" s="312"/>
      <c r="B789" s="76"/>
      <c r="C789" s="76"/>
      <c r="D789" s="324"/>
      <c r="E789" s="325"/>
      <c r="F789" s="325"/>
      <c r="G789" s="325"/>
      <c r="H789" s="325"/>
      <c r="I789" s="325"/>
      <c r="J789" s="325"/>
      <c r="K789" s="325"/>
      <c r="L789" s="325"/>
      <c r="M789" s="325"/>
      <c r="N789" s="303"/>
      <c r="O789" s="304"/>
      <c r="P789" s="312"/>
      <c r="Q789" s="328"/>
      <c r="R789" s="329"/>
      <c r="S789" s="307"/>
      <c r="T789" s="301"/>
      <c r="U789" s="301"/>
      <c r="W789" s="267"/>
      <c r="X789" s="240"/>
      <c r="Y789" s="268"/>
      <c r="Z789" s="240"/>
      <c r="AA789" s="241"/>
    </row>
    <row r="790" spans="1:27" s="322" customFormat="1">
      <c r="A790" s="312"/>
      <c r="B790" s="76"/>
      <c r="C790" s="76"/>
      <c r="D790" s="324"/>
      <c r="E790" s="325"/>
      <c r="F790" s="325"/>
      <c r="G790" s="325"/>
      <c r="H790" s="325"/>
      <c r="I790" s="325"/>
      <c r="J790" s="325"/>
      <c r="K790" s="325"/>
      <c r="L790" s="325"/>
      <c r="M790" s="325"/>
      <c r="N790" s="303"/>
      <c r="O790" s="304"/>
      <c r="P790" s="312"/>
      <c r="Q790" s="328"/>
      <c r="R790" s="329"/>
      <c r="S790" s="307"/>
      <c r="T790" s="301"/>
      <c r="U790" s="301"/>
      <c r="W790" s="267"/>
      <c r="X790" s="240"/>
      <c r="Y790" s="268"/>
      <c r="Z790" s="240"/>
      <c r="AA790" s="241"/>
    </row>
    <row r="791" spans="1:27" s="322" customFormat="1">
      <c r="A791" s="312"/>
      <c r="B791" s="76"/>
      <c r="C791" s="76"/>
      <c r="D791" s="324"/>
      <c r="E791" s="325"/>
      <c r="F791" s="325"/>
      <c r="G791" s="325"/>
      <c r="H791" s="325"/>
      <c r="I791" s="325"/>
      <c r="J791" s="325"/>
      <c r="K791" s="325"/>
      <c r="L791" s="325"/>
      <c r="M791" s="325"/>
      <c r="N791" s="303"/>
      <c r="O791" s="304"/>
      <c r="P791" s="312"/>
      <c r="Q791" s="328"/>
      <c r="R791" s="329"/>
      <c r="S791" s="307"/>
      <c r="T791" s="301"/>
      <c r="U791" s="301"/>
      <c r="W791" s="267"/>
      <c r="X791" s="240"/>
      <c r="Y791" s="268"/>
      <c r="Z791" s="240"/>
      <c r="AA791" s="241"/>
    </row>
    <row r="792" spans="1:27" s="322" customFormat="1">
      <c r="A792" s="312"/>
      <c r="B792" s="76"/>
      <c r="C792" s="76"/>
      <c r="D792" s="324"/>
      <c r="E792" s="325"/>
      <c r="F792" s="325"/>
      <c r="G792" s="325"/>
      <c r="H792" s="325"/>
      <c r="I792" s="325"/>
      <c r="J792" s="325"/>
      <c r="K792" s="325"/>
      <c r="L792" s="325"/>
      <c r="M792" s="325"/>
      <c r="N792" s="303"/>
      <c r="O792" s="304"/>
      <c r="P792" s="312"/>
      <c r="Q792" s="328"/>
      <c r="R792" s="329"/>
      <c r="S792" s="307"/>
      <c r="T792" s="301"/>
      <c r="U792" s="301"/>
      <c r="W792" s="267"/>
      <c r="X792" s="240"/>
      <c r="Y792" s="268"/>
      <c r="Z792" s="240"/>
      <c r="AA792" s="241"/>
    </row>
    <row r="793" spans="1:27" s="322" customFormat="1">
      <c r="A793" s="312"/>
      <c r="B793" s="76"/>
      <c r="C793" s="76"/>
      <c r="D793" s="324"/>
      <c r="E793" s="325"/>
      <c r="F793" s="325"/>
      <c r="G793" s="325"/>
      <c r="H793" s="325"/>
      <c r="I793" s="325"/>
      <c r="J793" s="325"/>
      <c r="K793" s="325"/>
      <c r="L793" s="325"/>
      <c r="M793" s="325"/>
      <c r="N793" s="303"/>
      <c r="O793" s="304"/>
      <c r="P793" s="312"/>
      <c r="Q793" s="328"/>
      <c r="R793" s="329"/>
      <c r="S793" s="307"/>
      <c r="T793" s="301"/>
      <c r="U793" s="301"/>
      <c r="W793" s="267"/>
      <c r="X793" s="240"/>
      <c r="Y793" s="268"/>
      <c r="Z793" s="240"/>
      <c r="AA793" s="241"/>
    </row>
    <row r="794" spans="1:27" s="322" customFormat="1">
      <c r="A794" s="312"/>
      <c r="B794" s="76"/>
      <c r="C794" s="76"/>
      <c r="D794" s="324"/>
      <c r="E794" s="325"/>
      <c r="F794" s="325"/>
      <c r="G794" s="325"/>
      <c r="H794" s="325"/>
      <c r="I794" s="325"/>
      <c r="J794" s="325"/>
      <c r="K794" s="325"/>
      <c r="L794" s="325"/>
      <c r="M794" s="325"/>
      <c r="N794" s="303"/>
      <c r="O794" s="304"/>
      <c r="P794" s="312"/>
      <c r="Q794" s="328"/>
      <c r="R794" s="329"/>
      <c r="S794" s="307"/>
      <c r="T794" s="301"/>
      <c r="U794" s="301"/>
      <c r="W794" s="267"/>
      <c r="X794" s="240"/>
      <c r="Y794" s="268"/>
      <c r="Z794" s="240"/>
      <c r="AA794" s="241"/>
    </row>
    <row r="795" spans="1:27" s="322" customFormat="1">
      <c r="A795" s="312"/>
      <c r="B795" s="76"/>
      <c r="C795" s="76"/>
      <c r="D795" s="324"/>
      <c r="E795" s="325"/>
      <c r="F795" s="325"/>
      <c r="G795" s="325"/>
      <c r="H795" s="325"/>
      <c r="I795" s="325"/>
      <c r="J795" s="325"/>
      <c r="K795" s="325"/>
      <c r="L795" s="325"/>
      <c r="M795" s="325"/>
      <c r="N795" s="303"/>
      <c r="O795" s="304"/>
      <c r="P795" s="312"/>
      <c r="Q795" s="328"/>
      <c r="R795" s="329"/>
      <c r="S795" s="307"/>
      <c r="T795" s="301"/>
      <c r="U795" s="301"/>
      <c r="W795" s="267"/>
      <c r="X795" s="240"/>
      <c r="Y795" s="268"/>
      <c r="Z795" s="240"/>
      <c r="AA795" s="241"/>
    </row>
    <row r="796" spans="1:27" s="322" customFormat="1">
      <c r="A796" s="312"/>
      <c r="B796" s="76"/>
      <c r="C796" s="76"/>
      <c r="D796" s="324"/>
      <c r="E796" s="325"/>
      <c r="F796" s="325"/>
      <c r="G796" s="325"/>
      <c r="H796" s="325"/>
      <c r="I796" s="325"/>
      <c r="J796" s="325"/>
      <c r="K796" s="325"/>
      <c r="L796" s="325"/>
      <c r="M796" s="325"/>
      <c r="N796" s="303"/>
      <c r="O796" s="304"/>
      <c r="P796" s="312"/>
      <c r="Q796" s="328"/>
      <c r="R796" s="329"/>
      <c r="S796" s="307"/>
      <c r="T796" s="301"/>
      <c r="U796" s="301"/>
      <c r="W796" s="267"/>
      <c r="X796" s="240"/>
      <c r="Y796" s="268"/>
      <c r="Z796" s="240"/>
      <c r="AA796" s="241"/>
    </row>
    <row r="797" spans="1:27" s="322" customFormat="1">
      <c r="A797" s="312"/>
      <c r="B797" s="76"/>
      <c r="C797" s="76"/>
      <c r="D797" s="324"/>
      <c r="E797" s="325"/>
      <c r="F797" s="325"/>
      <c r="G797" s="325"/>
      <c r="H797" s="325"/>
      <c r="I797" s="325"/>
      <c r="J797" s="325"/>
      <c r="K797" s="325"/>
      <c r="L797" s="325"/>
      <c r="M797" s="325"/>
      <c r="N797" s="303"/>
      <c r="O797" s="304"/>
      <c r="P797" s="312"/>
      <c r="Q797" s="312"/>
      <c r="R797" s="76"/>
      <c r="S797" s="307"/>
      <c r="T797" s="301"/>
      <c r="U797" s="301"/>
      <c r="W797" s="267"/>
      <c r="X797" s="240"/>
      <c r="Y797" s="268"/>
      <c r="Z797" s="240"/>
      <c r="AA797" s="241"/>
    </row>
    <row r="798" spans="1:27" s="322" customFormat="1">
      <c r="A798" s="312"/>
      <c r="B798" s="76"/>
      <c r="C798" s="76"/>
      <c r="D798" s="324"/>
      <c r="E798" s="325"/>
      <c r="F798" s="325"/>
      <c r="G798" s="325"/>
      <c r="H798" s="325"/>
      <c r="I798" s="325"/>
      <c r="J798" s="325"/>
      <c r="K798" s="325"/>
      <c r="L798" s="325"/>
      <c r="M798" s="325"/>
      <c r="N798" s="303"/>
      <c r="O798" s="304"/>
      <c r="P798" s="312"/>
      <c r="Q798" s="312"/>
      <c r="R798" s="76"/>
      <c r="S798" s="307"/>
      <c r="T798" s="301"/>
      <c r="U798" s="301"/>
      <c r="W798" s="267"/>
      <c r="X798" s="240"/>
      <c r="Y798" s="268"/>
      <c r="Z798" s="240"/>
      <c r="AA798" s="241"/>
    </row>
    <row r="799" spans="1:27" s="322" customFormat="1">
      <c r="A799" s="312"/>
      <c r="B799" s="76"/>
      <c r="C799" s="76"/>
      <c r="D799" s="324"/>
      <c r="E799" s="325"/>
      <c r="F799" s="325"/>
      <c r="G799" s="325"/>
      <c r="H799" s="325"/>
      <c r="I799" s="325"/>
      <c r="J799" s="325"/>
      <c r="K799" s="325"/>
      <c r="L799" s="325"/>
      <c r="M799" s="325"/>
      <c r="N799" s="303"/>
      <c r="O799" s="304"/>
      <c r="P799" s="312"/>
      <c r="Q799" s="312"/>
      <c r="R799" s="76"/>
      <c r="S799" s="307"/>
      <c r="T799" s="301"/>
      <c r="U799" s="301"/>
      <c r="W799" s="267"/>
      <c r="X799" s="240"/>
      <c r="Y799" s="268"/>
      <c r="Z799" s="240"/>
      <c r="AA799" s="241"/>
    </row>
    <row r="800" spans="1:27" s="322" customFormat="1">
      <c r="A800" s="312"/>
      <c r="B800" s="76"/>
      <c r="C800" s="76"/>
      <c r="D800" s="324"/>
      <c r="E800" s="325"/>
      <c r="F800" s="325"/>
      <c r="G800" s="325"/>
      <c r="H800" s="325"/>
      <c r="I800" s="325"/>
      <c r="J800" s="325"/>
      <c r="K800" s="325"/>
      <c r="L800" s="325"/>
      <c r="M800" s="325"/>
      <c r="N800" s="303"/>
      <c r="O800" s="304"/>
      <c r="P800" s="312"/>
      <c r="Q800" s="312"/>
      <c r="R800" s="76"/>
      <c r="S800" s="307"/>
      <c r="T800" s="301"/>
      <c r="U800" s="301"/>
      <c r="W800" s="267"/>
      <c r="X800" s="240"/>
      <c r="Y800" s="268"/>
      <c r="Z800" s="240"/>
      <c r="AA800" s="241"/>
    </row>
    <row r="801" spans="1:27" s="322" customFormat="1">
      <c r="A801" s="312"/>
      <c r="B801" s="76"/>
      <c r="C801" s="76"/>
      <c r="D801" s="324"/>
      <c r="E801" s="325"/>
      <c r="F801" s="325"/>
      <c r="G801" s="325"/>
      <c r="H801" s="325"/>
      <c r="I801" s="325"/>
      <c r="J801" s="325"/>
      <c r="K801" s="325"/>
      <c r="L801" s="325"/>
      <c r="M801" s="325"/>
      <c r="N801" s="303"/>
      <c r="O801" s="304"/>
      <c r="P801" s="312"/>
      <c r="Q801" s="312"/>
      <c r="R801" s="76"/>
      <c r="S801" s="307"/>
      <c r="T801" s="301"/>
      <c r="U801" s="301"/>
      <c r="W801" s="267"/>
      <c r="X801" s="240"/>
      <c r="Y801" s="268"/>
      <c r="Z801" s="240"/>
      <c r="AA801" s="241"/>
    </row>
    <row r="802" spans="1:27" s="322" customFormat="1">
      <c r="A802" s="312"/>
      <c r="B802" s="76"/>
      <c r="C802" s="76"/>
      <c r="D802" s="324"/>
      <c r="E802" s="325"/>
      <c r="F802" s="325"/>
      <c r="G802" s="325"/>
      <c r="H802" s="325"/>
      <c r="I802" s="325"/>
      <c r="J802" s="325"/>
      <c r="K802" s="325"/>
      <c r="L802" s="325"/>
      <c r="M802" s="325"/>
      <c r="N802" s="303"/>
      <c r="O802" s="304"/>
      <c r="P802" s="312"/>
      <c r="Q802" s="312"/>
      <c r="R802" s="76"/>
      <c r="S802" s="307"/>
      <c r="T802" s="301"/>
      <c r="U802" s="301"/>
      <c r="W802" s="267"/>
      <c r="X802" s="240"/>
      <c r="Y802" s="268"/>
      <c r="Z802" s="240"/>
      <c r="AA802" s="241"/>
    </row>
    <row r="803" spans="1:27" s="322" customFormat="1">
      <c r="A803" s="312"/>
      <c r="B803" s="76"/>
      <c r="C803" s="76"/>
      <c r="D803" s="324"/>
      <c r="E803" s="325"/>
      <c r="F803" s="325"/>
      <c r="G803" s="325"/>
      <c r="H803" s="325"/>
      <c r="I803" s="325"/>
      <c r="J803" s="325"/>
      <c r="K803" s="325"/>
      <c r="L803" s="325"/>
      <c r="M803" s="325"/>
      <c r="N803" s="303"/>
      <c r="O803" s="304"/>
      <c r="P803" s="312"/>
      <c r="Q803" s="312"/>
      <c r="R803" s="76"/>
      <c r="S803" s="307"/>
      <c r="T803" s="301"/>
      <c r="U803" s="301"/>
      <c r="W803" s="267"/>
      <c r="X803" s="240"/>
      <c r="Y803" s="268"/>
      <c r="Z803" s="240"/>
      <c r="AA803" s="241"/>
    </row>
    <row r="804" spans="1:27" s="322" customFormat="1">
      <c r="A804" s="312"/>
      <c r="B804" s="76"/>
      <c r="C804" s="76"/>
      <c r="D804" s="324"/>
      <c r="E804" s="325"/>
      <c r="F804" s="325"/>
      <c r="G804" s="325"/>
      <c r="H804" s="325"/>
      <c r="I804" s="325"/>
      <c r="J804" s="325"/>
      <c r="K804" s="325"/>
      <c r="L804" s="325"/>
      <c r="M804" s="325"/>
      <c r="N804" s="303"/>
      <c r="O804" s="304"/>
      <c r="P804" s="312"/>
      <c r="Q804" s="312"/>
      <c r="R804" s="76"/>
      <c r="S804" s="307"/>
      <c r="T804" s="301"/>
      <c r="U804" s="301"/>
      <c r="W804" s="267"/>
      <c r="X804" s="240"/>
      <c r="Y804" s="268"/>
      <c r="Z804" s="240"/>
      <c r="AA804" s="241"/>
    </row>
    <row r="805" spans="1:27" s="322" customFormat="1">
      <c r="A805" s="312"/>
      <c r="B805" s="76"/>
      <c r="C805" s="76"/>
      <c r="D805" s="324"/>
      <c r="E805" s="325"/>
      <c r="F805" s="325"/>
      <c r="G805" s="325"/>
      <c r="H805" s="325"/>
      <c r="I805" s="325"/>
      <c r="J805" s="325"/>
      <c r="K805" s="325"/>
      <c r="L805" s="325"/>
      <c r="M805" s="325"/>
      <c r="N805" s="303"/>
      <c r="O805" s="304"/>
      <c r="P805" s="312"/>
      <c r="Q805" s="312"/>
      <c r="R805" s="76"/>
      <c r="S805" s="307"/>
      <c r="T805" s="301"/>
      <c r="U805" s="301"/>
      <c r="W805" s="267"/>
      <c r="X805" s="240"/>
      <c r="Y805" s="268"/>
      <c r="Z805" s="240"/>
      <c r="AA805" s="241"/>
    </row>
    <row r="806" spans="1:27" s="322" customFormat="1">
      <c r="A806" s="312"/>
      <c r="B806" s="76"/>
      <c r="C806" s="76"/>
      <c r="D806" s="324"/>
      <c r="E806" s="325"/>
      <c r="F806" s="325"/>
      <c r="G806" s="325"/>
      <c r="H806" s="325"/>
      <c r="I806" s="325"/>
      <c r="J806" s="325"/>
      <c r="K806" s="325"/>
      <c r="L806" s="325"/>
      <c r="M806" s="325"/>
      <c r="N806" s="303"/>
      <c r="O806" s="304"/>
      <c r="P806" s="312"/>
      <c r="Q806" s="312"/>
      <c r="R806" s="76"/>
      <c r="S806" s="307"/>
      <c r="T806" s="301"/>
      <c r="U806" s="301"/>
      <c r="W806" s="267"/>
      <c r="X806" s="240"/>
      <c r="Y806" s="268"/>
      <c r="Z806" s="240"/>
      <c r="AA806" s="241"/>
    </row>
    <row r="807" spans="1:27" s="322" customFormat="1">
      <c r="A807" s="312"/>
      <c r="B807" s="76"/>
      <c r="C807" s="76"/>
      <c r="D807" s="324"/>
      <c r="E807" s="325"/>
      <c r="F807" s="325"/>
      <c r="G807" s="325"/>
      <c r="H807" s="325"/>
      <c r="I807" s="325"/>
      <c r="J807" s="325"/>
      <c r="K807" s="325"/>
      <c r="L807" s="325"/>
      <c r="M807" s="325"/>
      <c r="N807" s="303"/>
      <c r="O807" s="304"/>
      <c r="P807" s="312"/>
      <c r="Q807" s="312"/>
      <c r="R807" s="76"/>
      <c r="S807" s="307"/>
      <c r="T807" s="301"/>
      <c r="U807" s="301"/>
      <c r="W807" s="267"/>
      <c r="X807" s="240"/>
      <c r="Y807" s="268"/>
      <c r="Z807" s="240"/>
      <c r="AA807" s="241"/>
    </row>
    <row r="808" spans="1:27" s="322" customFormat="1">
      <c r="A808" s="312"/>
      <c r="B808" s="76"/>
      <c r="C808" s="76"/>
      <c r="D808" s="324"/>
      <c r="E808" s="325"/>
      <c r="F808" s="325"/>
      <c r="G808" s="325"/>
      <c r="H808" s="325"/>
      <c r="I808" s="325"/>
      <c r="J808" s="325"/>
      <c r="K808" s="325"/>
      <c r="L808" s="325"/>
      <c r="M808" s="325"/>
      <c r="N808" s="303"/>
      <c r="O808" s="304"/>
      <c r="P808" s="312"/>
      <c r="Q808" s="312"/>
      <c r="R808" s="76"/>
      <c r="S808" s="307"/>
      <c r="T808" s="301"/>
      <c r="U808" s="301"/>
      <c r="W808" s="267"/>
      <c r="X808" s="240"/>
      <c r="Y808" s="268"/>
      <c r="Z808" s="240"/>
      <c r="AA808" s="241"/>
    </row>
    <row r="809" spans="1:27" s="322" customFormat="1">
      <c r="A809" s="312"/>
      <c r="B809" s="76"/>
      <c r="C809" s="76"/>
      <c r="D809" s="324"/>
      <c r="E809" s="325"/>
      <c r="F809" s="325"/>
      <c r="G809" s="325"/>
      <c r="H809" s="325"/>
      <c r="I809" s="325"/>
      <c r="J809" s="325"/>
      <c r="K809" s="325"/>
      <c r="L809" s="325"/>
      <c r="M809" s="325"/>
      <c r="N809" s="303"/>
      <c r="O809" s="304"/>
      <c r="P809" s="312"/>
      <c r="Q809" s="312"/>
      <c r="R809" s="76"/>
      <c r="S809" s="307"/>
      <c r="T809" s="301"/>
      <c r="U809" s="301"/>
      <c r="W809" s="267"/>
      <c r="X809" s="240"/>
      <c r="Y809" s="268"/>
      <c r="Z809" s="240"/>
      <c r="AA809" s="241"/>
    </row>
    <row r="810" spans="1:27" s="322" customFormat="1">
      <c r="A810" s="312"/>
      <c r="B810" s="76"/>
      <c r="C810" s="76"/>
      <c r="D810" s="324"/>
      <c r="E810" s="325"/>
      <c r="F810" s="325"/>
      <c r="G810" s="325"/>
      <c r="H810" s="325"/>
      <c r="I810" s="325"/>
      <c r="J810" s="325"/>
      <c r="K810" s="325"/>
      <c r="L810" s="325"/>
      <c r="M810" s="325"/>
      <c r="N810" s="303"/>
      <c r="O810" s="304"/>
      <c r="P810" s="312"/>
      <c r="Q810" s="312"/>
      <c r="R810" s="76"/>
      <c r="S810" s="307"/>
      <c r="T810" s="301"/>
      <c r="U810" s="301"/>
      <c r="W810" s="267"/>
      <c r="X810" s="240"/>
      <c r="Y810" s="268"/>
      <c r="Z810" s="240"/>
      <c r="AA810" s="241"/>
    </row>
    <row r="811" spans="1:27" s="322" customFormat="1">
      <c r="A811" s="312"/>
      <c r="B811" s="76"/>
      <c r="C811" s="76"/>
      <c r="D811" s="324"/>
      <c r="E811" s="325"/>
      <c r="F811" s="325"/>
      <c r="G811" s="325"/>
      <c r="H811" s="325"/>
      <c r="I811" s="325"/>
      <c r="J811" s="325"/>
      <c r="K811" s="325"/>
      <c r="L811" s="325"/>
      <c r="M811" s="325"/>
      <c r="N811" s="303"/>
      <c r="O811" s="304"/>
      <c r="P811" s="312"/>
      <c r="Q811" s="312"/>
      <c r="R811" s="76"/>
      <c r="S811" s="307"/>
      <c r="T811" s="301"/>
      <c r="U811" s="301"/>
      <c r="W811" s="267"/>
      <c r="X811" s="240"/>
      <c r="Y811" s="268"/>
      <c r="Z811" s="240"/>
      <c r="AA811" s="241"/>
    </row>
    <row r="812" spans="1:27" s="322" customFormat="1">
      <c r="A812" s="312"/>
      <c r="B812" s="76"/>
      <c r="C812" s="76"/>
      <c r="D812" s="324"/>
      <c r="E812" s="325"/>
      <c r="F812" s="325"/>
      <c r="G812" s="325"/>
      <c r="H812" s="325"/>
      <c r="I812" s="325"/>
      <c r="J812" s="325"/>
      <c r="K812" s="325"/>
      <c r="L812" s="325"/>
      <c r="M812" s="325"/>
      <c r="N812" s="303"/>
      <c r="O812" s="304"/>
      <c r="P812" s="312"/>
      <c r="Q812" s="312"/>
      <c r="R812" s="76"/>
      <c r="S812" s="307"/>
      <c r="T812" s="301"/>
      <c r="U812" s="301"/>
      <c r="W812" s="267"/>
      <c r="X812" s="240"/>
      <c r="Y812" s="268"/>
      <c r="Z812" s="240"/>
      <c r="AA812" s="241"/>
    </row>
    <row r="813" spans="1:27" s="322" customFormat="1">
      <c r="A813" s="312"/>
      <c r="B813" s="76"/>
      <c r="C813" s="76"/>
      <c r="D813" s="324"/>
      <c r="E813" s="325"/>
      <c r="F813" s="325"/>
      <c r="G813" s="325"/>
      <c r="H813" s="325"/>
      <c r="I813" s="325"/>
      <c r="J813" s="325"/>
      <c r="K813" s="325"/>
      <c r="L813" s="325"/>
      <c r="M813" s="325"/>
      <c r="N813" s="303"/>
      <c r="O813" s="304"/>
      <c r="P813" s="312"/>
      <c r="Q813" s="312"/>
      <c r="R813" s="76"/>
      <c r="S813" s="307"/>
      <c r="T813" s="301"/>
      <c r="U813" s="301"/>
      <c r="W813" s="267"/>
      <c r="X813" s="240"/>
      <c r="Y813" s="268"/>
      <c r="Z813" s="240"/>
      <c r="AA813" s="241"/>
    </row>
    <row r="814" spans="1:27" s="322" customFormat="1">
      <c r="A814" s="312"/>
      <c r="B814" s="76"/>
      <c r="C814" s="76"/>
      <c r="D814" s="324"/>
      <c r="E814" s="325"/>
      <c r="F814" s="325"/>
      <c r="G814" s="325"/>
      <c r="H814" s="325"/>
      <c r="I814" s="325"/>
      <c r="J814" s="325"/>
      <c r="K814" s="325"/>
      <c r="L814" s="325"/>
      <c r="M814" s="325"/>
      <c r="N814" s="303"/>
      <c r="O814" s="304"/>
      <c r="P814" s="312"/>
      <c r="Q814" s="312"/>
      <c r="R814" s="76"/>
      <c r="S814" s="307"/>
      <c r="T814" s="301"/>
      <c r="U814" s="301"/>
      <c r="W814" s="267"/>
      <c r="X814" s="240"/>
      <c r="Y814" s="268"/>
      <c r="Z814" s="240"/>
      <c r="AA814" s="241"/>
    </row>
    <row r="815" spans="1:27" s="322" customFormat="1">
      <c r="A815" s="312"/>
      <c r="B815" s="76"/>
      <c r="C815" s="76"/>
      <c r="D815" s="324"/>
      <c r="E815" s="325"/>
      <c r="F815" s="325"/>
      <c r="G815" s="325"/>
      <c r="H815" s="325"/>
      <c r="I815" s="325"/>
      <c r="J815" s="325"/>
      <c r="K815" s="325"/>
      <c r="L815" s="325"/>
      <c r="M815" s="325"/>
      <c r="N815" s="303"/>
      <c r="O815" s="304"/>
      <c r="P815" s="312"/>
      <c r="Q815" s="312"/>
      <c r="R815" s="76"/>
      <c r="S815" s="307"/>
      <c r="T815" s="301"/>
      <c r="U815" s="301"/>
      <c r="W815" s="267"/>
      <c r="X815" s="240"/>
      <c r="Y815" s="268"/>
      <c r="Z815" s="240"/>
      <c r="AA815" s="241"/>
    </row>
    <row r="816" spans="1:27" s="322" customFormat="1">
      <c r="A816" s="312"/>
      <c r="B816" s="76"/>
      <c r="C816" s="76"/>
      <c r="D816" s="324"/>
      <c r="E816" s="325"/>
      <c r="F816" s="325"/>
      <c r="G816" s="325"/>
      <c r="H816" s="325"/>
      <c r="I816" s="325"/>
      <c r="J816" s="325"/>
      <c r="K816" s="325"/>
      <c r="L816" s="325"/>
      <c r="M816" s="325"/>
      <c r="N816" s="303"/>
      <c r="O816" s="304"/>
      <c r="P816" s="312"/>
      <c r="Q816" s="312"/>
      <c r="R816" s="76"/>
      <c r="S816" s="307"/>
      <c r="T816" s="301"/>
      <c r="U816" s="301"/>
      <c r="W816" s="267"/>
      <c r="X816" s="240"/>
      <c r="Y816" s="268"/>
      <c r="Z816" s="240"/>
      <c r="AA816" s="241"/>
    </row>
    <row r="817" spans="1:27" s="322" customFormat="1">
      <c r="A817" s="312"/>
      <c r="B817" s="76"/>
      <c r="C817" s="76"/>
      <c r="D817" s="324"/>
      <c r="E817" s="325"/>
      <c r="F817" s="325"/>
      <c r="G817" s="325"/>
      <c r="H817" s="325"/>
      <c r="I817" s="325"/>
      <c r="J817" s="325"/>
      <c r="K817" s="325"/>
      <c r="L817" s="325"/>
      <c r="M817" s="325"/>
      <c r="N817" s="303"/>
      <c r="O817" s="304"/>
      <c r="P817" s="312"/>
      <c r="Q817" s="312"/>
      <c r="R817" s="76"/>
      <c r="S817" s="307"/>
      <c r="T817" s="301"/>
      <c r="U817" s="301"/>
      <c r="W817" s="267"/>
      <c r="X817" s="240"/>
      <c r="Y817" s="268"/>
      <c r="Z817" s="240"/>
      <c r="AA817" s="241"/>
    </row>
    <row r="818" spans="1:27" s="322" customFormat="1">
      <c r="A818" s="312"/>
      <c r="B818" s="76"/>
      <c r="C818" s="76"/>
      <c r="D818" s="324"/>
      <c r="E818" s="325"/>
      <c r="F818" s="325"/>
      <c r="G818" s="325"/>
      <c r="H818" s="325"/>
      <c r="I818" s="325"/>
      <c r="J818" s="325"/>
      <c r="K818" s="325"/>
      <c r="L818" s="325"/>
      <c r="M818" s="325"/>
      <c r="N818" s="303"/>
      <c r="O818" s="304"/>
      <c r="P818" s="312"/>
      <c r="Q818" s="312"/>
      <c r="R818" s="76"/>
      <c r="S818" s="307"/>
      <c r="T818" s="301"/>
      <c r="U818" s="301"/>
      <c r="W818" s="267"/>
      <c r="X818" s="240"/>
      <c r="Y818" s="268"/>
      <c r="Z818" s="240"/>
      <c r="AA818" s="241"/>
    </row>
    <row r="819" spans="1:27" s="322" customFormat="1">
      <c r="A819" s="312"/>
      <c r="B819" s="76"/>
      <c r="C819" s="76"/>
      <c r="D819" s="324"/>
      <c r="E819" s="325"/>
      <c r="F819" s="325"/>
      <c r="G819" s="325"/>
      <c r="H819" s="325"/>
      <c r="I819" s="325"/>
      <c r="J819" s="325"/>
      <c r="K819" s="325"/>
      <c r="L819" s="325"/>
      <c r="M819" s="325"/>
      <c r="N819" s="303"/>
      <c r="O819" s="304"/>
      <c r="P819" s="312"/>
      <c r="Q819" s="312"/>
      <c r="R819" s="76"/>
      <c r="S819" s="307"/>
      <c r="T819" s="301"/>
      <c r="U819" s="301"/>
      <c r="W819" s="267"/>
      <c r="X819" s="240"/>
      <c r="Y819" s="268"/>
      <c r="Z819" s="240"/>
      <c r="AA819" s="241"/>
    </row>
    <row r="820" spans="1:27" s="322" customFormat="1">
      <c r="A820" s="312"/>
      <c r="B820" s="76"/>
      <c r="C820" s="76"/>
      <c r="D820" s="324"/>
      <c r="E820" s="325"/>
      <c r="F820" s="325"/>
      <c r="G820" s="325"/>
      <c r="H820" s="325"/>
      <c r="I820" s="325"/>
      <c r="J820" s="325"/>
      <c r="K820" s="325"/>
      <c r="L820" s="325"/>
      <c r="M820" s="325"/>
      <c r="N820" s="303"/>
      <c r="O820" s="304"/>
      <c r="P820" s="312"/>
      <c r="Q820" s="312"/>
      <c r="R820" s="76"/>
      <c r="S820" s="307"/>
      <c r="T820" s="301"/>
      <c r="U820" s="301"/>
      <c r="W820" s="267"/>
      <c r="X820" s="240"/>
      <c r="Y820" s="268"/>
      <c r="Z820" s="240"/>
      <c r="AA820" s="241"/>
    </row>
    <row r="821" spans="1:27" s="322" customFormat="1">
      <c r="A821" s="312"/>
      <c r="B821" s="76"/>
      <c r="C821" s="76"/>
      <c r="D821" s="324"/>
      <c r="E821" s="325"/>
      <c r="F821" s="325"/>
      <c r="G821" s="325"/>
      <c r="H821" s="325"/>
      <c r="I821" s="325"/>
      <c r="J821" s="325"/>
      <c r="K821" s="325"/>
      <c r="L821" s="325"/>
      <c r="M821" s="325"/>
      <c r="N821" s="303"/>
      <c r="O821" s="304"/>
      <c r="P821" s="312"/>
      <c r="Q821" s="312"/>
      <c r="R821" s="76"/>
      <c r="S821" s="307"/>
      <c r="T821" s="301"/>
      <c r="U821" s="301"/>
      <c r="W821" s="267"/>
      <c r="X821" s="240"/>
      <c r="Y821" s="268"/>
      <c r="Z821" s="240"/>
      <c r="AA821" s="241"/>
    </row>
    <row r="822" spans="1:27" s="322" customFormat="1">
      <c r="A822" s="312"/>
      <c r="B822" s="76"/>
      <c r="C822" s="76"/>
      <c r="D822" s="324"/>
      <c r="E822" s="325"/>
      <c r="F822" s="325"/>
      <c r="G822" s="325"/>
      <c r="H822" s="325"/>
      <c r="I822" s="325"/>
      <c r="J822" s="325"/>
      <c r="K822" s="325"/>
      <c r="L822" s="325"/>
      <c r="M822" s="325"/>
      <c r="N822" s="303"/>
      <c r="O822" s="304"/>
      <c r="P822" s="312"/>
      <c r="Q822" s="312"/>
      <c r="R822" s="76"/>
      <c r="S822" s="307"/>
      <c r="T822" s="301"/>
      <c r="U822" s="301"/>
      <c r="W822" s="267"/>
      <c r="X822" s="240"/>
      <c r="Y822" s="268"/>
      <c r="Z822" s="240"/>
      <c r="AA822" s="241"/>
    </row>
    <row r="823" spans="1:27" s="322" customFormat="1">
      <c r="A823" s="312"/>
      <c r="B823" s="76"/>
      <c r="C823" s="76"/>
      <c r="D823" s="324"/>
      <c r="E823" s="325"/>
      <c r="F823" s="325"/>
      <c r="G823" s="325"/>
      <c r="H823" s="325"/>
      <c r="I823" s="325"/>
      <c r="J823" s="325"/>
      <c r="K823" s="325"/>
      <c r="L823" s="325"/>
      <c r="M823" s="325"/>
      <c r="N823" s="303"/>
      <c r="O823" s="304"/>
      <c r="P823" s="312"/>
      <c r="Q823" s="312"/>
      <c r="R823" s="76"/>
      <c r="S823" s="307"/>
      <c r="T823" s="301"/>
      <c r="U823" s="301"/>
      <c r="W823" s="267"/>
      <c r="X823" s="240"/>
      <c r="Y823" s="268"/>
      <c r="Z823" s="240"/>
      <c r="AA823" s="241"/>
    </row>
    <row r="824" spans="1:27" s="322" customFormat="1">
      <c r="A824" s="312"/>
      <c r="B824" s="76"/>
      <c r="C824" s="76"/>
      <c r="D824" s="324"/>
      <c r="E824" s="325"/>
      <c r="F824" s="325"/>
      <c r="G824" s="325"/>
      <c r="H824" s="325"/>
      <c r="I824" s="325"/>
      <c r="J824" s="325"/>
      <c r="K824" s="325"/>
      <c r="L824" s="325"/>
      <c r="M824" s="325"/>
      <c r="N824" s="303"/>
      <c r="O824" s="304"/>
      <c r="P824" s="312"/>
      <c r="Q824" s="312"/>
      <c r="R824" s="76"/>
      <c r="S824" s="307"/>
      <c r="T824" s="301"/>
      <c r="U824" s="301"/>
      <c r="W824" s="267"/>
      <c r="X824" s="240"/>
      <c r="Y824" s="268"/>
      <c r="Z824" s="240"/>
      <c r="AA824" s="241"/>
    </row>
    <row r="825" spans="1:27" s="322" customFormat="1">
      <c r="A825" s="312"/>
      <c r="B825" s="76"/>
      <c r="C825" s="76"/>
      <c r="D825" s="324"/>
      <c r="E825" s="325"/>
      <c r="F825" s="325"/>
      <c r="G825" s="325"/>
      <c r="H825" s="325"/>
      <c r="I825" s="325"/>
      <c r="J825" s="325"/>
      <c r="K825" s="325"/>
      <c r="L825" s="325"/>
      <c r="M825" s="325"/>
      <c r="N825" s="303"/>
      <c r="O825" s="304"/>
      <c r="P825" s="312"/>
      <c r="Q825" s="312"/>
      <c r="R825" s="76"/>
      <c r="S825" s="307"/>
      <c r="T825" s="301"/>
      <c r="U825" s="301"/>
      <c r="W825" s="267"/>
      <c r="X825" s="240"/>
      <c r="Y825" s="268"/>
      <c r="Z825" s="240"/>
      <c r="AA825" s="241"/>
    </row>
    <row r="826" spans="1:27" s="322" customFormat="1">
      <c r="A826" s="312"/>
      <c r="B826" s="76"/>
      <c r="C826" s="76"/>
      <c r="D826" s="324"/>
      <c r="E826" s="325"/>
      <c r="F826" s="325"/>
      <c r="G826" s="325"/>
      <c r="H826" s="325"/>
      <c r="I826" s="325"/>
      <c r="J826" s="325"/>
      <c r="K826" s="325"/>
      <c r="L826" s="325"/>
      <c r="M826" s="325"/>
      <c r="N826" s="303"/>
      <c r="O826" s="304"/>
      <c r="P826" s="312"/>
      <c r="Q826" s="312"/>
      <c r="R826" s="76"/>
      <c r="S826" s="307"/>
      <c r="T826" s="301"/>
      <c r="U826" s="301"/>
      <c r="W826" s="267"/>
      <c r="X826" s="240"/>
      <c r="Y826" s="268"/>
      <c r="Z826" s="240"/>
      <c r="AA826" s="241"/>
    </row>
    <row r="827" spans="1:27" s="322" customFormat="1">
      <c r="A827" s="312"/>
      <c r="B827" s="76"/>
      <c r="C827" s="76"/>
      <c r="D827" s="324"/>
      <c r="E827" s="325"/>
      <c r="F827" s="325"/>
      <c r="G827" s="325"/>
      <c r="H827" s="325"/>
      <c r="I827" s="325"/>
      <c r="J827" s="325"/>
      <c r="K827" s="325"/>
      <c r="L827" s="325"/>
      <c r="M827" s="325"/>
      <c r="N827" s="303"/>
      <c r="O827" s="304"/>
      <c r="P827" s="312"/>
      <c r="Q827" s="312"/>
      <c r="R827" s="76"/>
      <c r="S827" s="307"/>
      <c r="T827" s="301"/>
      <c r="U827" s="301"/>
      <c r="W827" s="267"/>
      <c r="X827" s="240"/>
      <c r="Y827" s="268"/>
      <c r="Z827" s="240"/>
      <c r="AA827" s="241"/>
    </row>
    <row r="828" spans="1:27" s="322" customFormat="1">
      <c r="A828" s="312"/>
      <c r="B828" s="76"/>
      <c r="C828" s="76"/>
      <c r="D828" s="324"/>
      <c r="E828" s="325"/>
      <c r="F828" s="325"/>
      <c r="G828" s="325"/>
      <c r="H828" s="325"/>
      <c r="I828" s="325"/>
      <c r="J828" s="325"/>
      <c r="K828" s="325"/>
      <c r="L828" s="325"/>
      <c r="M828" s="325"/>
      <c r="N828" s="303"/>
      <c r="O828" s="304"/>
      <c r="P828" s="312"/>
      <c r="Q828" s="312"/>
      <c r="R828" s="76"/>
      <c r="S828" s="307"/>
      <c r="T828" s="301"/>
      <c r="U828" s="301"/>
      <c r="W828" s="267"/>
      <c r="X828" s="240"/>
      <c r="Y828" s="268"/>
      <c r="Z828" s="240"/>
      <c r="AA828" s="241"/>
    </row>
    <row r="829" spans="1:27" s="322" customFormat="1">
      <c r="A829" s="312"/>
      <c r="B829" s="76"/>
      <c r="C829" s="76"/>
      <c r="D829" s="324"/>
      <c r="E829" s="325"/>
      <c r="F829" s="325"/>
      <c r="G829" s="325"/>
      <c r="H829" s="325"/>
      <c r="I829" s="325"/>
      <c r="J829" s="325"/>
      <c r="K829" s="325"/>
      <c r="L829" s="325"/>
      <c r="M829" s="325"/>
      <c r="N829" s="303"/>
      <c r="O829" s="304"/>
      <c r="P829" s="312"/>
      <c r="Q829" s="312"/>
      <c r="R829" s="76"/>
      <c r="S829" s="307"/>
      <c r="T829" s="301"/>
      <c r="U829" s="301"/>
      <c r="W829" s="267"/>
      <c r="X829" s="240"/>
      <c r="Y829" s="268"/>
      <c r="Z829" s="240"/>
      <c r="AA829" s="241"/>
    </row>
    <row r="830" spans="1:27" s="322" customFormat="1">
      <c r="A830" s="312"/>
      <c r="B830" s="76"/>
      <c r="C830" s="76"/>
      <c r="D830" s="324"/>
      <c r="E830" s="325"/>
      <c r="F830" s="325"/>
      <c r="G830" s="325"/>
      <c r="H830" s="325"/>
      <c r="I830" s="325"/>
      <c r="J830" s="325"/>
      <c r="K830" s="325"/>
      <c r="L830" s="325"/>
      <c r="M830" s="325"/>
      <c r="N830" s="303"/>
      <c r="O830" s="304"/>
      <c r="P830" s="312"/>
      <c r="Q830" s="312"/>
      <c r="R830" s="76"/>
      <c r="S830" s="307"/>
      <c r="T830" s="301"/>
      <c r="U830" s="301"/>
      <c r="W830" s="267"/>
      <c r="X830" s="240"/>
      <c r="Y830" s="268"/>
      <c r="Z830" s="240"/>
      <c r="AA830" s="241"/>
    </row>
    <row r="831" spans="1:27" s="322" customFormat="1">
      <c r="A831" s="312"/>
      <c r="B831" s="76"/>
      <c r="C831" s="76"/>
      <c r="D831" s="324"/>
      <c r="E831" s="325"/>
      <c r="F831" s="325"/>
      <c r="G831" s="325"/>
      <c r="H831" s="325"/>
      <c r="I831" s="325"/>
      <c r="J831" s="325"/>
      <c r="K831" s="325"/>
      <c r="L831" s="325"/>
      <c r="M831" s="325"/>
      <c r="N831" s="303"/>
      <c r="O831" s="304"/>
      <c r="P831" s="312"/>
      <c r="Q831" s="312"/>
      <c r="R831" s="76"/>
      <c r="S831" s="307"/>
      <c r="T831" s="301"/>
      <c r="U831" s="301"/>
      <c r="W831" s="267"/>
      <c r="X831" s="240"/>
      <c r="Y831" s="268"/>
      <c r="Z831" s="240"/>
      <c r="AA831" s="241"/>
    </row>
    <row r="832" spans="1:27" s="322" customFormat="1">
      <c r="A832" s="312"/>
      <c r="B832" s="76"/>
      <c r="C832" s="76"/>
      <c r="D832" s="324"/>
      <c r="E832" s="325"/>
      <c r="F832" s="325"/>
      <c r="G832" s="325"/>
      <c r="H832" s="325"/>
      <c r="I832" s="325"/>
      <c r="J832" s="325"/>
      <c r="K832" s="325"/>
      <c r="L832" s="325"/>
      <c r="M832" s="325"/>
      <c r="N832" s="303"/>
      <c r="O832" s="304"/>
      <c r="P832" s="312"/>
      <c r="Q832" s="312"/>
      <c r="R832" s="76"/>
      <c r="S832" s="307"/>
      <c r="T832" s="301"/>
      <c r="U832" s="301"/>
      <c r="W832" s="267"/>
      <c r="X832" s="240"/>
      <c r="Y832" s="268"/>
      <c r="Z832" s="240"/>
      <c r="AA832" s="241"/>
    </row>
    <row r="833" spans="1:27" s="322" customFormat="1">
      <c r="A833" s="312"/>
      <c r="B833" s="76"/>
      <c r="C833" s="76"/>
      <c r="D833" s="324"/>
      <c r="E833" s="325"/>
      <c r="F833" s="325"/>
      <c r="G833" s="325"/>
      <c r="H833" s="325"/>
      <c r="I833" s="325"/>
      <c r="J833" s="325"/>
      <c r="K833" s="325"/>
      <c r="L833" s="325"/>
      <c r="M833" s="325"/>
      <c r="N833" s="303"/>
      <c r="O833" s="304"/>
      <c r="P833" s="312"/>
      <c r="Q833" s="312"/>
      <c r="R833" s="76"/>
      <c r="S833" s="307"/>
      <c r="T833" s="301"/>
      <c r="U833" s="301"/>
      <c r="W833" s="267"/>
      <c r="X833" s="240"/>
      <c r="Y833" s="268"/>
      <c r="Z833" s="240"/>
      <c r="AA833" s="241"/>
    </row>
    <row r="834" spans="1:27" s="322" customFormat="1">
      <c r="A834" s="312"/>
      <c r="B834" s="76"/>
      <c r="C834" s="76"/>
      <c r="D834" s="324"/>
      <c r="E834" s="325"/>
      <c r="F834" s="325"/>
      <c r="G834" s="325"/>
      <c r="H834" s="325"/>
      <c r="I834" s="325"/>
      <c r="J834" s="325"/>
      <c r="K834" s="325"/>
      <c r="L834" s="325"/>
      <c r="M834" s="325"/>
      <c r="N834" s="303"/>
      <c r="O834" s="304"/>
      <c r="P834" s="312"/>
      <c r="Q834" s="312"/>
      <c r="R834" s="76"/>
      <c r="S834" s="307"/>
      <c r="T834" s="301"/>
      <c r="U834" s="301"/>
      <c r="W834" s="267"/>
      <c r="X834" s="240"/>
      <c r="Y834" s="268"/>
      <c r="Z834" s="240"/>
      <c r="AA834" s="241"/>
    </row>
    <row r="835" spans="1:27" s="322" customFormat="1">
      <c r="A835" s="312"/>
      <c r="B835" s="76"/>
      <c r="C835" s="76"/>
      <c r="D835" s="324"/>
      <c r="E835" s="325"/>
      <c r="F835" s="325"/>
      <c r="G835" s="325"/>
      <c r="H835" s="325"/>
      <c r="I835" s="325"/>
      <c r="J835" s="325"/>
      <c r="K835" s="325"/>
      <c r="L835" s="325"/>
      <c r="M835" s="325"/>
      <c r="N835" s="303"/>
      <c r="O835" s="304"/>
      <c r="P835" s="312"/>
      <c r="Q835" s="312"/>
      <c r="R835" s="76"/>
      <c r="S835" s="307"/>
      <c r="T835" s="301"/>
      <c r="U835" s="301"/>
      <c r="W835" s="267"/>
      <c r="X835" s="240"/>
      <c r="Y835" s="268"/>
      <c r="Z835" s="240"/>
      <c r="AA835" s="241"/>
    </row>
    <row r="836" spans="1:27" s="322" customFormat="1">
      <c r="A836" s="312"/>
      <c r="B836" s="76"/>
      <c r="C836" s="76"/>
      <c r="D836" s="324"/>
      <c r="E836" s="325"/>
      <c r="F836" s="325"/>
      <c r="G836" s="325"/>
      <c r="H836" s="325"/>
      <c r="I836" s="325"/>
      <c r="J836" s="325"/>
      <c r="K836" s="325"/>
      <c r="L836" s="325"/>
      <c r="M836" s="325"/>
      <c r="N836" s="303"/>
      <c r="O836" s="304"/>
      <c r="P836" s="312"/>
      <c r="Q836" s="312"/>
      <c r="R836" s="76"/>
      <c r="S836" s="307"/>
      <c r="T836" s="301"/>
      <c r="U836" s="301"/>
      <c r="W836" s="267"/>
      <c r="X836" s="240"/>
      <c r="Y836" s="268"/>
      <c r="Z836" s="240"/>
      <c r="AA836" s="241"/>
    </row>
    <row r="837" spans="1:27" s="322" customFormat="1">
      <c r="A837" s="312"/>
      <c r="B837" s="76"/>
      <c r="C837" s="76"/>
      <c r="D837" s="324"/>
      <c r="E837" s="325"/>
      <c r="F837" s="325"/>
      <c r="G837" s="325"/>
      <c r="H837" s="325"/>
      <c r="I837" s="325"/>
      <c r="J837" s="325"/>
      <c r="K837" s="325"/>
      <c r="L837" s="325"/>
      <c r="M837" s="325"/>
      <c r="N837" s="303"/>
      <c r="O837" s="304"/>
      <c r="P837" s="312"/>
      <c r="Q837" s="312"/>
      <c r="R837" s="76"/>
      <c r="S837" s="307"/>
      <c r="T837" s="301"/>
      <c r="U837" s="301"/>
      <c r="W837" s="267"/>
      <c r="X837" s="240"/>
      <c r="Y837" s="268"/>
      <c r="Z837" s="240"/>
      <c r="AA837" s="241"/>
    </row>
    <row r="838" spans="1:27" s="322" customFormat="1">
      <c r="A838" s="312"/>
      <c r="B838" s="76"/>
      <c r="C838" s="76"/>
      <c r="D838" s="324"/>
      <c r="E838" s="325"/>
      <c r="F838" s="325"/>
      <c r="G838" s="325"/>
      <c r="H838" s="325"/>
      <c r="I838" s="325"/>
      <c r="J838" s="325"/>
      <c r="K838" s="325"/>
      <c r="L838" s="325"/>
      <c r="M838" s="325"/>
      <c r="N838" s="303"/>
      <c r="O838" s="304"/>
      <c r="P838" s="312"/>
      <c r="Q838" s="312"/>
      <c r="R838" s="76"/>
      <c r="S838" s="307"/>
      <c r="T838" s="301"/>
      <c r="U838" s="301"/>
      <c r="W838" s="267"/>
      <c r="X838" s="240"/>
      <c r="Y838" s="268"/>
      <c r="Z838" s="240"/>
      <c r="AA838" s="241"/>
    </row>
    <row r="839" spans="1:27" s="322" customFormat="1">
      <c r="A839" s="312"/>
      <c r="B839" s="76"/>
      <c r="C839" s="76"/>
      <c r="D839" s="324"/>
      <c r="E839" s="325"/>
      <c r="F839" s="325"/>
      <c r="G839" s="325"/>
      <c r="H839" s="325"/>
      <c r="I839" s="325"/>
      <c r="J839" s="325"/>
      <c r="K839" s="325"/>
      <c r="L839" s="325"/>
      <c r="M839" s="325"/>
      <c r="N839" s="303"/>
      <c r="O839" s="304"/>
      <c r="P839" s="312"/>
      <c r="Q839" s="312"/>
      <c r="R839" s="76"/>
      <c r="S839" s="307"/>
      <c r="T839" s="301"/>
      <c r="U839" s="301"/>
      <c r="W839" s="267"/>
      <c r="X839" s="240"/>
      <c r="Y839" s="268"/>
      <c r="Z839" s="240"/>
      <c r="AA839" s="241"/>
    </row>
    <row r="840" spans="1:27" s="322" customFormat="1">
      <c r="A840" s="312"/>
      <c r="B840" s="76"/>
      <c r="C840" s="76"/>
      <c r="D840" s="324"/>
      <c r="E840" s="325"/>
      <c r="F840" s="325"/>
      <c r="G840" s="325"/>
      <c r="H840" s="325"/>
      <c r="I840" s="325"/>
      <c r="J840" s="325"/>
      <c r="K840" s="325"/>
      <c r="L840" s="325"/>
      <c r="M840" s="325"/>
      <c r="N840" s="303"/>
      <c r="O840" s="304"/>
      <c r="P840" s="312"/>
      <c r="Q840" s="312"/>
      <c r="R840" s="76"/>
      <c r="S840" s="307"/>
      <c r="T840" s="301"/>
      <c r="U840" s="301"/>
      <c r="W840" s="267"/>
      <c r="X840" s="240"/>
      <c r="Y840" s="268"/>
      <c r="Z840" s="240"/>
      <c r="AA840" s="241"/>
    </row>
    <row r="841" spans="1:27" s="322" customFormat="1">
      <c r="A841" s="312"/>
      <c r="B841" s="76"/>
      <c r="C841" s="76"/>
      <c r="D841" s="324"/>
      <c r="E841" s="325"/>
      <c r="F841" s="325"/>
      <c r="G841" s="325"/>
      <c r="H841" s="325"/>
      <c r="I841" s="325"/>
      <c r="J841" s="325"/>
      <c r="K841" s="325"/>
      <c r="L841" s="325"/>
      <c r="M841" s="325"/>
      <c r="N841" s="303"/>
      <c r="O841" s="304"/>
      <c r="P841" s="312"/>
      <c r="Q841" s="312"/>
      <c r="R841" s="76"/>
      <c r="S841" s="307"/>
      <c r="T841" s="301"/>
      <c r="U841" s="301"/>
      <c r="W841" s="267"/>
      <c r="X841" s="240"/>
      <c r="Y841" s="268"/>
      <c r="Z841" s="240"/>
      <c r="AA841" s="241"/>
    </row>
    <row r="842" spans="1:27" s="322" customFormat="1" ht="21.6" customHeight="1">
      <c r="A842" s="312"/>
      <c r="B842" s="76"/>
      <c r="C842" s="76"/>
      <c r="D842" s="324"/>
      <c r="E842" s="325"/>
      <c r="F842" s="325"/>
      <c r="G842" s="325"/>
      <c r="H842" s="325"/>
      <c r="I842" s="325"/>
      <c r="J842" s="325"/>
      <c r="K842" s="325"/>
      <c r="L842" s="325"/>
      <c r="M842" s="325"/>
      <c r="N842" s="303"/>
      <c r="O842" s="304"/>
      <c r="P842" s="312"/>
      <c r="Q842" s="312"/>
      <c r="R842" s="76"/>
      <c r="S842" s="307"/>
      <c r="T842" s="301"/>
      <c r="U842" s="301"/>
      <c r="W842" s="267"/>
      <c r="X842" s="240"/>
      <c r="Y842" s="268"/>
      <c r="Z842" s="240"/>
      <c r="AA842" s="241"/>
    </row>
    <row r="843" spans="1:27" s="322" customFormat="1" ht="31.9" customHeight="1">
      <c r="A843" s="312"/>
      <c r="B843" s="76"/>
      <c r="C843" s="76"/>
      <c r="D843" s="324"/>
      <c r="E843" s="325"/>
      <c r="F843" s="325"/>
      <c r="G843" s="325"/>
      <c r="H843" s="325"/>
      <c r="I843" s="325"/>
      <c r="J843" s="325"/>
      <c r="K843" s="325"/>
      <c r="L843" s="325"/>
      <c r="M843" s="325"/>
      <c r="N843" s="303"/>
      <c r="O843" s="304"/>
      <c r="P843" s="312"/>
      <c r="Q843" s="312"/>
      <c r="R843" s="76"/>
      <c r="S843" s="307"/>
      <c r="T843" s="301"/>
      <c r="U843" s="301"/>
      <c r="W843" s="267"/>
      <c r="X843" s="240"/>
      <c r="Y843" s="268"/>
      <c r="Z843" s="240"/>
      <c r="AA843" s="241"/>
    </row>
    <row r="844" spans="1:27" s="322" customFormat="1" ht="31.9" customHeight="1">
      <c r="A844" s="312"/>
      <c r="B844" s="76"/>
      <c r="C844" s="76"/>
      <c r="D844" s="324"/>
      <c r="E844" s="325"/>
      <c r="F844" s="325"/>
      <c r="G844" s="325"/>
      <c r="H844" s="325"/>
      <c r="I844" s="325"/>
      <c r="J844" s="325"/>
      <c r="K844" s="325"/>
      <c r="L844" s="325"/>
      <c r="M844" s="325"/>
      <c r="N844" s="303"/>
      <c r="O844" s="304"/>
      <c r="P844" s="312"/>
      <c r="Q844" s="312"/>
      <c r="R844" s="76"/>
      <c r="S844" s="307"/>
      <c r="T844" s="301"/>
      <c r="U844" s="301"/>
      <c r="W844" s="267"/>
      <c r="X844" s="240"/>
      <c r="Y844" s="268"/>
      <c r="Z844" s="240"/>
      <c r="AA844" s="241"/>
    </row>
    <row r="845" spans="1:27" s="322" customFormat="1" ht="31.9" customHeight="1">
      <c r="A845" s="312"/>
      <c r="B845" s="76"/>
      <c r="C845" s="76"/>
      <c r="D845" s="324"/>
      <c r="E845" s="325"/>
      <c r="F845" s="325"/>
      <c r="G845" s="325"/>
      <c r="H845" s="325"/>
      <c r="I845" s="325"/>
      <c r="J845" s="325"/>
      <c r="K845" s="325"/>
      <c r="L845" s="325"/>
      <c r="M845" s="325"/>
      <c r="N845" s="303"/>
      <c r="O845" s="304"/>
      <c r="P845" s="312"/>
      <c r="Q845" s="312"/>
      <c r="R845" s="76"/>
      <c r="S845" s="307"/>
      <c r="T845" s="301"/>
      <c r="U845" s="301"/>
      <c r="W845" s="267"/>
      <c r="X845" s="240"/>
      <c r="Y845" s="268"/>
      <c r="Z845" s="240"/>
      <c r="AA845" s="241"/>
    </row>
    <row r="846" spans="1:27" s="322" customFormat="1" ht="18" customHeight="1">
      <c r="A846" s="312"/>
      <c r="B846" s="76"/>
      <c r="C846" s="76"/>
      <c r="D846" s="324"/>
      <c r="E846" s="325"/>
      <c r="F846" s="325"/>
      <c r="G846" s="325"/>
      <c r="H846" s="325"/>
      <c r="I846" s="325"/>
      <c r="J846" s="325"/>
      <c r="K846" s="325"/>
      <c r="L846" s="325"/>
      <c r="M846" s="325"/>
      <c r="N846" s="303"/>
      <c r="O846" s="304"/>
      <c r="P846" s="312"/>
      <c r="Q846" s="312"/>
      <c r="R846" s="76"/>
      <c r="S846" s="307"/>
      <c r="T846" s="301"/>
      <c r="U846" s="301"/>
      <c r="W846" s="267"/>
      <c r="X846" s="240"/>
      <c r="Y846" s="268"/>
      <c r="Z846" s="240"/>
      <c r="AA846" s="241"/>
    </row>
    <row r="847" spans="1:27" s="322" customFormat="1" ht="18" customHeight="1">
      <c r="A847" s="312"/>
      <c r="B847" s="76"/>
      <c r="C847" s="76"/>
      <c r="D847" s="324"/>
      <c r="E847" s="325"/>
      <c r="F847" s="325"/>
      <c r="G847" s="325"/>
      <c r="H847" s="325"/>
      <c r="I847" s="325"/>
      <c r="J847" s="325"/>
      <c r="K847" s="325"/>
      <c r="L847" s="325"/>
      <c r="M847" s="325"/>
      <c r="N847" s="303"/>
      <c r="O847" s="304"/>
      <c r="P847" s="312"/>
      <c r="Q847" s="312"/>
      <c r="R847" s="76"/>
      <c r="S847" s="307"/>
      <c r="T847" s="301"/>
      <c r="U847" s="301"/>
      <c r="W847" s="267"/>
      <c r="X847" s="240"/>
      <c r="Y847" s="268"/>
      <c r="Z847" s="240"/>
      <c r="AA847" s="241"/>
    </row>
    <row r="848" spans="1:27" s="322" customFormat="1" ht="18.600000000000001" customHeight="1">
      <c r="A848" s="312"/>
      <c r="B848" s="76"/>
      <c r="C848" s="76"/>
      <c r="D848" s="324"/>
      <c r="E848" s="325"/>
      <c r="F848" s="325"/>
      <c r="G848" s="325"/>
      <c r="H848" s="325"/>
      <c r="I848" s="325"/>
      <c r="J848" s="325"/>
      <c r="K848" s="325"/>
      <c r="L848" s="325"/>
      <c r="M848" s="325"/>
      <c r="N848" s="303"/>
      <c r="O848" s="304"/>
      <c r="P848" s="312"/>
      <c r="Q848" s="312"/>
      <c r="R848" s="76"/>
      <c r="S848" s="307"/>
      <c r="T848" s="301"/>
      <c r="U848" s="301"/>
      <c r="W848" s="267"/>
      <c r="X848" s="240"/>
      <c r="Y848" s="268"/>
      <c r="Z848" s="240"/>
      <c r="AA848" s="241"/>
    </row>
    <row r="849" spans="1:27" s="322" customFormat="1">
      <c r="A849" s="312"/>
      <c r="B849" s="76"/>
      <c r="C849" s="76"/>
      <c r="D849" s="324"/>
      <c r="E849" s="325"/>
      <c r="F849" s="325"/>
      <c r="G849" s="325"/>
      <c r="H849" s="325"/>
      <c r="I849" s="325"/>
      <c r="J849" s="325"/>
      <c r="K849" s="325"/>
      <c r="L849" s="325"/>
      <c r="M849" s="325"/>
      <c r="N849" s="303"/>
      <c r="O849" s="304"/>
      <c r="P849" s="312"/>
      <c r="Q849" s="312"/>
      <c r="R849" s="76"/>
      <c r="S849" s="307"/>
      <c r="T849" s="301"/>
      <c r="U849" s="301"/>
      <c r="W849" s="267"/>
      <c r="X849" s="240"/>
      <c r="Y849" s="268"/>
      <c r="Z849" s="240"/>
      <c r="AA849" s="241"/>
    </row>
    <row r="850" spans="1:27" s="322" customFormat="1">
      <c r="A850" s="312"/>
      <c r="B850" s="76"/>
      <c r="C850" s="76"/>
      <c r="D850" s="324"/>
      <c r="E850" s="325"/>
      <c r="F850" s="325"/>
      <c r="G850" s="325"/>
      <c r="H850" s="325"/>
      <c r="I850" s="325"/>
      <c r="J850" s="325"/>
      <c r="K850" s="325"/>
      <c r="L850" s="325"/>
      <c r="M850" s="325"/>
      <c r="N850" s="303"/>
      <c r="O850" s="304"/>
      <c r="P850" s="312"/>
      <c r="Q850" s="314"/>
      <c r="R850" s="315"/>
      <c r="S850" s="307"/>
      <c r="T850" s="301"/>
      <c r="U850" s="301"/>
      <c r="W850" s="267"/>
      <c r="X850" s="240"/>
      <c r="Y850" s="268"/>
      <c r="Z850" s="240"/>
      <c r="AA850" s="241"/>
    </row>
    <row r="851" spans="1:27" s="322" customFormat="1">
      <c r="A851" s="312"/>
      <c r="B851" s="76"/>
      <c r="C851" s="76"/>
      <c r="D851" s="324"/>
      <c r="E851" s="325"/>
      <c r="F851" s="325"/>
      <c r="G851" s="325"/>
      <c r="H851" s="325"/>
      <c r="I851" s="325"/>
      <c r="J851" s="325"/>
      <c r="K851" s="325"/>
      <c r="L851" s="325"/>
      <c r="M851" s="325"/>
      <c r="N851" s="303"/>
      <c r="O851" s="304"/>
      <c r="P851" s="312"/>
      <c r="Q851" s="314"/>
      <c r="R851" s="315"/>
      <c r="S851" s="307"/>
      <c r="T851" s="301"/>
      <c r="U851" s="301"/>
      <c r="W851" s="267"/>
      <c r="X851" s="240"/>
      <c r="Y851" s="268"/>
      <c r="Z851" s="240"/>
      <c r="AA851" s="241"/>
    </row>
    <row r="852" spans="1:27" s="322" customFormat="1">
      <c r="A852" s="312"/>
      <c r="B852" s="76"/>
      <c r="C852" s="76"/>
      <c r="D852" s="324"/>
      <c r="E852" s="325"/>
      <c r="F852" s="325"/>
      <c r="G852" s="325"/>
      <c r="H852" s="325"/>
      <c r="I852" s="325"/>
      <c r="J852" s="325"/>
      <c r="K852" s="325"/>
      <c r="L852" s="325"/>
      <c r="M852" s="325"/>
      <c r="N852" s="303"/>
      <c r="O852" s="304"/>
      <c r="P852" s="312"/>
      <c r="Q852" s="314"/>
      <c r="R852" s="315"/>
      <c r="S852" s="307"/>
      <c r="T852" s="301"/>
      <c r="U852" s="301"/>
      <c r="W852" s="267"/>
      <c r="X852" s="240"/>
      <c r="Y852" s="268"/>
      <c r="Z852" s="240"/>
      <c r="AA852" s="241"/>
    </row>
    <row r="853" spans="1:27" s="322" customFormat="1">
      <c r="A853" s="312"/>
      <c r="B853" s="76"/>
      <c r="C853" s="76"/>
      <c r="D853" s="324"/>
      <c r="E853" s="325"/>
      <c r="F853" s="325"/>
      <c r="G853" s="325"/>
      <c r="H853" s="325"/>
      <c r="I853" s="325"/>
      <c r="J853" s="325"/>
      <c r="K853" s="325"/>
      <c r="L853" s="325"/>
      <c r="M853" s="325"/>
      <c r="N853" s="303"/>
      <c r="O853" s="304"/>
      <c r="P853" s="312"/>
      <c r="Q853" s="314"/>
      <c r="R853" s="315"/>
      <c r="S853" s="307"/>
      <c r="T853" s="301"/>
      <c r="U853" s="301"/>
      <c r="W853" s="267"/>
      <c r="X853" s="240"/>
      <c r="Y853" s="268"/>
      <c r="Z853" s="240"/>
      <c r="AA853" s="241"/>
    </row>
    <row r="854" spans="1:27" s="322" customFormat="1">
      <c r="A854" s="312"/>
      <c r="B854" s="76"/>
      <c r="C854" s="76"/>
      <c r="D854" s="324"/>
      <c r="E854" s="325"/>
      <c r="F854" s="325"/>
      <c r="G854" s="325"/>
      <c r="H854" s="325"/>
      <c r="I854" s="325"/>
      <c r="J854" s="325"/>
      <c r="K854" s="325"/>
      <c r="L854" s="325"/>
      <c r="M854" s="325"/>
      <c r="N854" s="303"/>
      <c r="O854" s="304"/>
      <c r="P854" s="312"/>
      <c r="Q854" s="314"/>
      <c r="R854" s="315"/>
      <c r="S854" s="307"/>
      <c r="T854" s="301"/>
      <c r="U854" s="301"/>
      <c r="W854" s="267"/>
      <c r="X854" s="240"/>
      <c r="Y854" s="268"/>
      <c r="Z854" s="240"/>
      <c r="AA854" s="241"/>
    </row>
    <row r="855" spans="1:27" s="322" customFormat="1">
      <c r="A855" s="312"/>
      <c r="B855" s="76"/>
      <c r="C855" s="76"/>
      <c r="D855" s="324"/>
      <c r="E855" s="325"/>
      <c r="F855" s="325"/>
      <c r="G855" s="325"/>
      <c r="H855" s="325"/>
      <c r="I855" s="325"/>
      <c r="J855" s="325"/>
      <c r="K855" s="325"/>
      <c r="L855" s="325"/>
      <c r="M855" s="325"/>
      <c r="N855" s="303"/>
      <c r="O855" s="304"/>
      <c r="P855" s="312"/>
      <c r="Q855" s="314"/>
      <c r="R855" s="315"/>
      <c r="S855" s="307"/>
      <c r="T855" s="301"/>
      <c r="U855" s="301"/>
      <c r="W855" s="267"/>
      <c r="X855" s="240"/>
      <c r="Y855" s="268"/>
      <c r="Z855" s="240"/>
      <c r="AA855" s="241"/>
    </row>
    <row r="856" spans="1:27" s="322" customFormat="1">
      <c r="A856" s="312"/>
      <c r="B856" s="76"/>
      <c r="C856" s="76"/>
      <c r="D856" s="324"/>
      <c r="E856" s="325"/>
      <c r="F856" s="325"/>
      <c r="G856" s="325"/>
      <c r="H856" s="325"/>
      <c r="I856" s="325"/>
      <c r="J856" s="325"/>
      <c r="K856" s="325"/>
      <c r="L856" s="325"/>
      <c r="M856" s="325"/>
      <c r="N856" s="303"/>
      <c r="O856" s="304"/>
      <c r="P856" s="312"/>
      <c r="Q856" s="314"/>
      <c r="R856" s="315"/>
      <c r="S856" s="307"/>
      <c r="T856" s="301"/>
      <c r="U856" s="301"/>
      <c r="W856" s="267"/>
      <c r="X856" s="240"/>
      <c r="Y856" s="268"/>
      <c r="Z856" s="240"/>
      <c r="AA856" s="241"/>
    </row>
    <row r="857" spans="1:27" s="322" customFormat="1">
      <c r="A857" s="312"/>
      <c r="B857" s="76"/>
      <c r="C857" s="76"/>
      <c r="D857" s="324"/>
      <c r="E857" s="325"/>
      <c r="F857" s="325"/>
      <c r="G857" s="325"/>
      <c r="H857" s="325"/>
      <c r="I857" s="325"/>
      <c r="J857" s="325"/>
      <c r="K857" s="325"/>
      <c r="L857" s="325"/>
      <c r="M857" s="325"/>
      <c r="N857" s="303"/>
      <c r="O857" s="304"/>
      <c r="P857" s="312"/>
      <c r="Q857" s="314"/>
      <c r="R857" s="315"/>
      <c r="S857" s="307"/>
      <c r="T857" s="301"/>
      <c r="U857" s="301"/>
      <c r="W857" s="267"/>
      <c r="X857" s="240"/>
      <c r="Y857" s="268"/>
      <c r="Z857" s="240"/>
      <c r="AA857" s="241"/>
    </row>
    <row r="858" spans="1:27" s="322" customFormat="1">
      <c r="A858" s="312"/>
      <c r="B858" s="76"/>
      <c r="C858" s="76"/>
      <c r="D858" s="324"/>
      <c r="E858" s="325"/>
      <c r="F858" s="325"/>
      <c r="G858" s="325"/>
      <c r="H858" s="325"/>
      <c r="I858" s="325"/>
      <c r="J858" s="325"/>
      <c r="K858" s="325"/>
      <c r="L858" s="325"/>
      <c r="M858" s="325"/>
      <c r="N858" s="303"/>
      <c r="O858" s="304"/>
      <c r="P858" s="312"/>
      <c r="Q858" s="314"/>
      <c r="R858" s="315"/>
      <c r="S858" s="307"/>
      <c r="T858" s="301"/>
      <c r="U858" s="301"/>
      <c r="W858" s="267"/>
      <c r="X858" s="240"/>
      <c r="Y858" s="268"/>
      <c r="Z858" s="240"/>
      <c r="AA858" s="241"/>
    </row>
    <row r="859" spans="1:27" s="322" customFormat="1">
      <c r="A859" s="312"/>
      <c r="B859" s="76"/>
      <c r="C859" s="76"/>
      <c r="D859" s="324"/>
      <c r="E859" s="325"/>
      <c r="F859" s="325"/>
      <c r="G859" s="325"/>
      <c r="H859" s="325"/>
      <c r="I859" s="325"/>
      <c r="J859" s="325"/>
      <c r="K859" s="325"/>
      <c r="L859" s="325"/>
      <c r="M859" s="325"/>
      <c r="N859" s="303"/>
      <c r="O859" s="304"/>
      <c r="P859" s="312"/>
      <c r="Q859" s="314"/>
      <c r="R859" s="315"/>
      <c r="S859" s="307"/>
      <c r="T859" s="301"/>
      <c r="U859" s="301"/>
      <c r="W859" s="267"/>
      <c r="X859" s="240"/>
      <c r="Y859" s="268"/>
      <c r="Z859" s="240"/>
      <c r="AA859" s="241"/>
    </row>
    <row r="860" spans="1:27" s="322" customFormat="1">
      <c r="A860" s="312"/>
      <c r="B860" s="76"/>
      <c r="C860" s="76"/>
      <c r="D860" s="324"/>
      <c r="E860" s="325"/>
      <c r="F860" s="325"/>
      <c r="G860" s="325"/>
      <c r="H860" s="325"/>
      <c r="I860" s="325"/>
      <c r="J860" s="325"/>
      <c r="K860" s="325"/>
      <c r="L860" s="325"/>
      <c r="M860" s="325"/>
      <c r="N860" s="303"/>
      <c r="O860" s="304"/>
      <c r="P860" s="312"/>
      <c r="Q860" s="314"/>
      <c r="R860" s="315"/>
      <c r="S860" s="307"/>
      <c r="T860" s="301"/>
      <c r="U860" s="301"/>
      <c r="W860" s="267"/>
      <c r="X860" s="240"/>
      <c r="Y860" s="268"/>
      <c r="Z860" s="240"/>
      <c r="AA860" s="241"/>
    </row>
    <row r="861" spans="1:27" s="322" customFormat="1">
      <c r="A861" s="312"/>
      <c r="B861" s="76"/>
      <c r="C861" s="76"/>
      <c r="D861" s="324"/>
      <c r="E861" s="325"/>
      <c r="F861" s="325"/>
      <c r="G861" s="325"/>
      <c r="H861" s="325"/>
      <c r="I861" s="325"/>
      <c r="J861" s="325"/>
      <c r="K861" s="325"/>
      <c r="L861" s="325"/>
      <c r="M861" s="325"/>
      <c r="N861" s="303"/>
      <c r="O861" s="304"/>
      <c r="P861" s="312"/>
      <c r="Q861" s="314"/>
      <c r="R861" s="315"/>
      <c r="S861" s="307"/>
      <c r="T861" s="301"/>
      <c r="U861" s="301"/>
      <c r="W861" s="267"/>
      <c r="X861" s="240"/>
      <c r="Y861" s="268"/>
      <c r="Z861" s="240"/>
      <c r="AA861" s="241"/>
    </row>
    <row r="862" spans="1:27" s="322" customFormat="1">
      <c r="A862" s="312"/>
      <c r="B862" s="76"/>
      <c r="C862" s="76"/>
      <c r="D862" s="324"/>
      <c r="E862" s="325"/>
      <c r="F862" s="325"/>
      <c r="G862" s="325"/>
      <c r="H862" s="325"/>
      <c r="I862" s="325"/>
      <c r="J862" s="325"/>
      <c r="K862" s="325"/>
      <c r="L862" s="325"/>
      <c r="M862" s="325"/>
      <c r="N862" s="303"/>
      <c r="O862" s="304"/>
      <c r="P862" s="312"/>
      <c r="Q862" s="314"/>
      <c r="R862" s="315"/>
      <c r="S862" s="307"/>
      <c r="T862" s="301"/>
      <c r="U862" s="301"/>
      <c r="W862" s="267"/>
      <c r="X862" s="240"/>
      <c r="Y862" s="268"/>
      <c r="Z862" s="240"/>
      <c r="AA862" s="241"/>
    </row>
    <row r="863" spans="1:27" s="322" customFormat="1">
      <c r="A863" s="312"/>
      <c r="B863" s="76"/>
      <c r="C863" s="76"/>
      <c r="D863" s="324"/>
      <c r="E863" s="325"/>
      <c r="F863" s="325"/>
      <c r="G863" s="325"/>
      <c r="H863" s="325"/>
      <c r="I863" s="325"/>
      <c r="J863" s="325"/>
      <c r="K863" s="325"/>
      <c r="L863" s="325"/>
      <c r="M863" s="325"/>
      <c r="N863" s="303"/>
      <c r="O863" s="304"/>
      <c r="P863" s="312"/>
      <c r="Q863" s="314"/>
      <c r="R863" s="315"/>
      <c r="S863" s="307"/>
      <c r="T863" s="301"/>
      <c r="U863" s="301"/>
      <c r="W863" s="267"/>
      <c r="X863" s="240"/>
      <c r="Y863" s="268"/>
      <c r="Z863" s="240"/>
      <c r="AA863" s="241"/>
    </row>
    <row r="864" spans="1:27" s="322" customFormat="1">
      <c r="A864" s="312"/>
      <c r="B864" s="76"/>
      <c r="C864" s="76"/>
      <c r="D864" s="324"/>
      <c r="E864" s="325"/>
      <c r="F864" s="325"/>
      <c r="G864" s="325"/>
      <c r="H864" s="325"/>
      <c r="I864" s="325"/>
      <c r="J864" s="325"/>
      <c r="K864" s="325"/>
      <c r="L864" s="325"/>
      <c r="M864" s="325"/>
      <c r="N864" s="303"/>
      <c r="O864" s="304"/>
      <c r="P864" s="312"/>
      <c r="Q864" s="314"/>
      <c r="R864" s="315"/>
      <c r="S864" s="307"/>
      <c r="T864" s="301"/>
      <c r="U864" s="301"/>
      <c r="W864" s="267"/>
      <c r="X864" s="240"/>
      <c r="Y864" s="268"/>
      <c r="Z864" s="240"/>
      <c r="AA864" s="241"/>
    </row>
    <row r="865" spans="1:27" s="322" customFormat="1">
      <c r="A865" s="312"/>
      <c r="B865" s="76"/>
      <c r="C865" s="76"/>
      <c r="D865" s="324"/>
      <c r="E865" s="325"/>
      <c r="F865" s="325"/>
      <c r="G865" s="325"/>
      <c r="H865" s="325"/>
      <c r="I865" s="325"/>
      <c r="J865" s="325"/>
      <c r="K865" s="325"/>
      <c r="L865" s="325"/>
      <c r="M865" s="325"/>
      <c r="N865" s="303"/>
      <c r="O865" s="304"/>
      <c r="P865" s="312"/>
      <c r="Q865" s="314"/>
      <c r="R865" s="315"/>
      <c r="S865" s="307"/>
      <c r="T865" s="301"/>
      <c r="U865" s="301"/>
      <c r="W865" s="267"/>
      <c r="X865" s="240"/>
      <c r="Y865" s="268"/>
      <c r="Z865" s="240"/>
      <c r="AA865" s="241"/>
    </row>
    <row r="866" spans="1:27" s="322" customFormat="1">
      <c r="A866" s="312"/>
      <c r="B866" s="76"/>
      <c r="C866" s="76"/>
      <c r="D866" s="324"/>
      <c r="E866" s="325"/>
      <c r="F866" s="325"/>
      <c r="G866" s="325"/>
      <c r="H866" s="325"/>
      <c r="I866" s="325"/>
      <c r="J866" s="325"/>
      <c r="K866" s="325"/>
      <c r="L866" s="325"/>
      <c r="M866" s="325"/>
      <c r="N866" s="303"/>
      <c r="O866" s="304"/>
      <c r="P866" s="312"/>
      <c r="Q866" s="314"/>
      <c r="R866" s="315"/>
      <c r="S866" s="307"/>
      <c r="T866" s="301"/>
      <c r="U866" s="301"/>
      <c r="W866" s="267"/>
      <c r="X866" s="240"/>
      <c r="Y866" s="268"/>
      <c r="Z866" s="240"/>
      <c r="AA866" s="241"/>
    </row>
    <row r="867" spans="1:27" s="322" customFormat="1">
      <c r="A867" s="312"/>
      <c r="B867" s="76"/>
      <c r="C867" s="76"/>
      <c r="D867" s="324"/>
      <c r="E867" s="325"/>
      <c r="F867" s="325"/>
      <c r="G867" s="325"/>
      <c r="H867" s="325"/>
      <c r="I867" s="325"/>
      <c r="J867" s="325"/>
      <c r="K867" s="325"/>
      <c r="L867" s="325"/>
      <c r="M867" s="325"/>
      <c r="N867" s="303"/>
      <c r="O867" s="304"/>
      <c r="P867" s="312"/>
      <c r="Q867" s="312"/>
      <c r="R867" s="76"/>
      <c r="S867" s="307"/>
      <c r="T867" s="301"/>
      <c r="U867" s="301"/>
      <c r="W867" s="267"/>
      <c r="X867" s="240"/>
      <c r="Y867" s="268"/>
      <c r="Z867" s="240"/>
      <c r="AA867" s="241"/>
    </row>
    <row r="868" spans="1:27" s="322" customFormat="1">
      <c r="A868" s="312"/>
      <c r="B868" s="76"/>
      <c r="C868" s="76"/>
      <c r="D868" s="324"/>
      <c r="E868" s="325"/>
      <c r="F868" s="325"/>
      <c r="G868" s="325"/>
      <c r="H868" s="325"/>
      <c r="I868" s="325"/>
      <c r="J868" s="325"/>
      <c r="K868" s="325"/>
      <c r="L868" s="325"/>
      <c r="M868" s="325"/>
      <c r="N868" s="303"/>
      <c r="O868" s="304"/>
      <c r="P868" s="312"/>
      <c r="Q868" s="312"/>
      <c r="R868" s="76"/>
      <c r="S868" s="307"/>
      <c r="T868" s="301"/>
      <c r="U868" s="301"/>
      <c r="W868" s="267"/>
      <c r="X868" s="240"/>
      <c r="Y868" s="268"/>
      <c r="Z868" s="240"/>
      <c r="AA868" s="241"/>
    </row>
    <row r="869" spans="1:27" s="322" customFormat="1">
      <c r="A869" s="312"/>
      <c r="B869" s="76"/>
      <c r="C869" s="76"/>
      <c r="D869" s="324"/>
      <c r="E869" s="325"/>
      <c r="F869" s="325"/>
      <c r="G869" s="325"/>
      <c r="H869" s="325"/>
      <c r="I869" s="325"/>
      <c r="J869" s="325"/>
      <c r="K869" s="325"/>
      <c r="L869" s="325"/>
      <c r="M869" s="325"/>
      <c r="N869" s="303"/>
      <c r="O869" s="304"/>
      <c r="P869" s="312"/>
      <c r="Q869" s="312"/>
      <c r="R869" s="76"/>
      <c r="S869" s="307"/>
      <c r="T869" s="301"/>
      <c r="U869" s="301"/>
      <c r="W869" s="267"/>
      <c r="X869" s="240"/>
      <c r="Y869" s="268"/>
      <c r="Z869" s="240"/>
      <c r="AA869" s="241"/>
    </row>
    <row r="870" spans="1:27" s="322" customFormat="1">
      <c r="A870" s="312"/>
      <c r="B870" s="76"/>
      <c r="C870" s="76"/>
      <c r="D870" s="324"/>
      <c r="E870" s="325"/>
      <c r="F870" s="325"/>
      <c r="G870" s="325"/>
      <c r="H870" s="325"/>
      <c r="I870" s="325"/>
      <c r="J870" s="325"/>
      <c r="K870" s="325"/>
      <c r="L870" s="325"/>
      <c r="M870" s="325"/>
      <c r="N870" s="303"/>
      <c r="O870" s="304"/>
      <c r="P870" s="312"/>
      <c r="Q870" s="312"/>
      <c r="R870" s="76"/>
      <c r="S870" s="307"/>
      <c r="T870" s="301"/>
      <c r="U870" s="301"/>
      <c r="W870" s="267"/>
      <c r="X870" s="240"/>
      <c r="Y870" s="268"/>
      <c r="Z870" s="240"/>
      <c r="AA870" s="241"/>
    </row>
    <row r="871" spans="1:27" s="322" customFormat="1">
      <c r="A871" s="312"/>
      <c r="B871" s="76"/>
      <c r="C871" s="76"/>
      <c r="D871" s="324"/>
      <c r="E871" s="325"/>
      <c r="F871" s="325"/>
      <c r="G871" s="325"/>
      <c r="H871" s="325"/>
      <c r="I871" s="325"/>
      <c r="J871" s="325"/>
      <c r="K871" s="325"/>
      <c r="L871" s="325"/>
      <c r="M871" s="325"/>
      <c r="N871" s="303"/>
      <c r="O871" s="304"/>
      <c r="P871" s="312"/>
      <c r="Q871" s="312"/>
      <c r="R871" s="76"/>
      <c r="S871" s="307"/>
      <c r="T871" s="301"/>
      <c r="U871" s="301"/>
      <c r="W871" s="267"/>
      <c r="X871" s="240"/>
      <c r="Y871" s="268"/>
      <c r="Z871" s="240"/>
      <c r="AA871" s="241"/>
    </row>
    <row r="872" spans="1:27" s="322" customFormat="1">
      <c r="A872" s="312"/>
      <c r="B872" s="76"/>
      <c r="C872" s="76"/>
      <c r="D872" s="324"/>
      <c r="E872" s="325"/>
      <c r="F872" s="325"/>
      <c r="G872" s="325"/>
      <c r="H872" s="325"/>
      <c r="I872" s="325"/>
      <c r="J872" s="325"/>
      <c r="K872" s="325"/>
      <c r="L872" s="325"/>
      <c r="M872" s="325"/>
      <c r="N872" s="303"/>
      <c r="O872" s="304"/>
      <c r="P872" s="312"/>
      <c r="Q872" s="312"/>
      <c r="R872" s="76"/>
      <c r="S872" s="307"/>
      <c r="T872" s="301"/>
      <c r="U872" s="301"/>
      <c r="W872" s="267"/>
      <c r="X872" s="240"/>
      <c r="Y872" s="268"/>
      <c r="Z872" s="240"/>
      <c r="AA872" s="241"/>
    </row>
    <row r="873" spans="1:27" s="322" customFormat="1">
      <c r="A873" s="312"/>
      <c r="B873" s="76"/>
      <c r="C873" s="76"/>
      <c r="D873" s="324"/>
      <c r="E873" s="325"/>
      <c r="F873" s="325"/>
      <c r="G873" s="325"/>
      <c r="H873" s="325"/>
      <c r="I873" s="325"/>
      <c r="J873" s="325"/>
      <c r="K873" s="325"/>
      <c r="L873" s="325"/>
      <c r="M873" s="325"/>
      <c r="N873" s="303"/>
      <c r="O873" s="304"/>
      <c r="P873" s="312"/>
      <c r="Q873" s="312"/>
      <c r="R873" s="76"/>
      <c r="S873" s="307"/>
      <c r="T873" s="301"/>
      <c r="U873" s="301"/>
      <c r="W873" s="267"/>
      <c r="X873" s="240"/>
      <c r="Y873" s="268"/>
      <c r="Z873" s="240"/>
      <c r="AA873" s="241"/>
    </row>
    <row r="874" spans="1:27" s="322" customFormat="1">
      <c r="A874" s="312"/>
      <c r="B874" s="76"/>
      <c r="C874" s="76"/>
      <c r="D874" s="324"/>
      <c r="E874" s="325"/>
      <c r="F874" s="325"/>
      <c r="G874" s="325"/>
      <c r="H874" s="325"/>
      <c r="I874" s="325"/>
      <c r="J874" s="325"/>
      <c r="K874" s="325"/>
      <c r="L874" s="325"/>
      <c r="M874" s="325"/>
      <c r="N874" s="303"/>
      <c r="O874" s="304"/>
      <c r="P874" s="312"/>
      <c r="Q874" s="312"/>
      <c r="R874" s="76"/>
      <c r="S874" s="307"/>
      <c r="T874" s="301"/>
      <c r="U874" s="301"/>
      <c r="W874" s="267"/>
      <c r="X874" s="240"/>
      <c r="Y874" s="268"/>
      <c r="Z874" s="240"/>
      <c r="AA874" s="241"/>
    </row>
    <row r="875" spans="1:27" s="322" customFormat="1">
      <c r="A875" s="312"/>
      <c r="B875" s="76"/>
      <c r="C875" s="76"/>
      <c r="D875" s="324"/>
      <c r="E875" s="325"/>
      <c r="F875" s="325"/>
      <c r="G875" s="325"/>
      <c r="H875" s="325"/>
      <c r="I875" s="325"/>
      <c r="J875" s="325"/>
      <c r="K875" s="325"/>
      <c r="L875" s="325"/>
      <c r="M875" s="325"/>
      <c r="N875" s="303"/>
      <c r="O875" s="304"/>
      <c r="P875" s="312"/>
      <c r="Q875" s="312"/>
      <c r="R875" s="76"/>
      <c r="S875" s="307"/>
      <c r="T875" s="301"/>
      <c r="U875" s="301"/>
      <c r="W875" s="267"/>
      <c r="X875" s="240"/>
      <c r="Y875" s="268"/>
      <c r="Z875" s="240"/>
      <c r="AA875" s="241"/>
    </row>
    <row r="876" spans="1:27" s="322" customFormat="1">
      <c r="A876" s="312"/>
      <c r="B876" s="76"/>
      <c r="C876" s="76"/>
      <c r="D876" s="324"/>
      <c r="E876" s="325"/>
      <c r="F876" s="325"/>
      <c r="G876" s="325"/>
      <c r="H876" s="325"/>
      <c r="I876" s="325"/>
      <c r="J876" s="325"/>
      <c r="K876" s="325"/>
      <c r="L876" s="325"/>
      <c r="M876" s="325"/>
      <c r="N876" s="303"/>
      <c r="O876" s="304"/>
      <c r="P876" s="312"/>
      <c r="Q876" s="312"/>
      <c r="R876" s="76"/>
      <c r="S876" s="307"/>
      <c r="T876" s="301"/>
      <c r="U876" s="301"/>
      <c r="W876" s="267"/>
      <c r="X876" s="240"/>
      <c r="Y876" s="268"/>
      <c r="Z876" s="240"/>
      <c r="AA876" s="241"/>
    </row>
    <row r="877" spans="1:27" s="322" customFormat="1">
      <c r="A877" s="312"/>
      <c r="B877" s="76"/>
      <c r="C877" s="76"/>
      <c r="D877" s="324"/>
      <c r="E877" s="325"/>
      <c r="F877" s="325"/>
      <c r="G877" s="325"/>
      <c r="H877" s="325"/>
      <c r="I877" s="325"/>
      <c r="J877" s="325"/>
      <c r="K877" s="325"/>
      <c r="L877" s="325"/>
      <c r="M877" s="325"/>
      <c r="N877" s="303"/>
      <c r="O877" s="304"/>
      <c r="P877" s="312"/>
      <c r="Q877" s="312"/>
      <c r="R877" s="76"/>
      <c r="S877" s="307"/>
      <c r="T877" s="301"/>
      <c r="U877" s="301"/>
      <c r="W877" s="267"/>
      <c r="X877" s="240"/>
      <c r="Y877" s="268"/>
      <c r="Z877" s="240"/>
      <c r="AA877" s="241"/>
    </row>
    <row r="878" spans="1:27" s="322" customFormat="1">
      <c r="A878" s="312"/>
      <c r="B878" s="76"/>
      <c r="C878" s="76"/>
      <c r="D878" s="324"/>
      <c r="E878" s="325"/>
      <c r="F878" s="325"/>
      <c r="G878" s="325"/>
      <c r="H878" s="325"/>
      <c r="I878" s="325"/>
      <c r="J878" s="325"/>
      <c r="K878" s="325"/>
      <c r="L878" s="325"/>
      <c r="M878" s="325"/>
      <c r="N878" s="303"/>
      <c r="O878" s="304"/>
      <c r="P878" s="312"/>
      <c r="Q878" s="312"/>
      <c r="R878" s="76"/>
      <c r="S878" s="307"/>
      <c r="T878" s="301"/>
      <c r="U878" s="301"/>
      <c r="W878" s="267"/>
      <c r="X878" s="240"/>
      <c r="Y878" s="268"/>
      <c r="Z878" s="240"/>
      <c r="AA878" s="241"/>
    </row>
    <row r="879" spans="1:27" s="322" customFormat="1">
      <c r="A879" s="312"/>
      <c r="B879" s="76"/>
      <c r="C879" s="76"/>
      <c r="D879" s="324"/>
      <c r="E879" s="325"/>
      <c r="F879" s="325"/>
      <c r="G879" s="325"/>
      <c r="H879" s="325"/>
      <c r="I879" s="325"/>
      <c r="J879" s="325"/>
      <c r="K879" s="325"/>
      <c r="L879" s="325"/>
      <c r="M879" s="325"/>
      <c r="N879" s="303"/>
      <c r="O879" s="304"/>
      <c r="P879" s="312"/>
      <c r="Q879" s="312"/>
      <c r="R879" s="76"/>
      <c r="S879" s="307"/>
      <c r="T879" s="301"/>
      <c r="U879" s="301"/>
      <c r="W879" s="267"/>
      <c r="X879" s="240"/>
      <c r="Y879" s="268"/>
      <c r="Z879" s="240"/>
      <c r="AA879" s="241"/>
    </row>
    <row r="880" spans="1:27" s="322" customFormat="1">
      <c r="A880" s="312"/>
      <c r="B880" s="76"/>
      <c r="C880" s="76"/>
      <c r="D880" s="324"/>
      <c r="E880" s="325"/>
      <c r="F880" s="325"/>
      <c r="G880" s="325"/>
      <c r="H880" s="325"/>
      <c r="I880" s="325"/>
      <c r="J880" s="325"/>
      <c r="K880" s="325"/>
      <c r="L880" s="325"/>
      <c r="M880" s="325"/>
      <c r="N880" s="303"/>
      <c r="O880" s="304"/>
      <c r="P880" s="312"/>
      <c r="Q880" s="312"/>
      <c r="R880" s="76"/>
      <c r="S880" s="307"/>
      <c r="T880" s="301"/>
      <c r="U880" s="301"/>
      <c r="W880" s="267"/>
      <c r="X880" s="240"/>
      <c r="Y880" s="268"/>
      <c r="Z880" s="240"/>
      <c r="AA880" s="241"/>
    </row>
    <row r="881" spans="1:27" s="322" customFormat="1">
      <c r="A881" s="312"/>
      <c r="B881" s="76"/>
      <c r="C881" s="76"/>
      <c r="D881" s="324"/>
      <c r="E881" s="325"/>
      <c r="F881" s="325"/>
      <c r="G881" s="325"/>
      <c r="H881" s="325"/>
      <c r="I881" s="325"/>
      <c r="J881" s="325"/>
      <c r="K881" s="325"/>
      <c r="L881" s="325"/>
      <c r="M881" s="325"/>
      <c r="N881" s="303"/>
      <c r="O881" s="304"/>
      <c r="P881" s="312"/>
      <c r="Q881" s="312"/>
      <c r="R881" s="76"/>
      <c r="S881" s="307"/>
      <c r="T881" s="301"/>
      <c r="U881" s="301"/>
      <c r="W881" s="267"/>
      <c r="X881" s="240"/>
      <c r="Y881" s="268"/>
      <c r="Z881" s="240"/>
      <c r="AA881" s="241"/>
    </row>
    <row r="882" spans="1:27" s="322" customFormat="1">
      <c r="A882" s="312"/>
      <c r="B882" s="76"/>
      <c r="C882" s="76"/>
      <c r="D882" s="324"/>
      <c r="E882" s="325"/>
      <c r="F882" s="325"/>
      <c r="G882" s="325"/>
      <c r="H882" s="325"/>
      <c r="I882" s="325"/>
      <c r="J882" s="325"/>
      <c r="K882" s="325"/>
      <c r="L882" s="325"/>
      <c r="M882" s="325"/>
      <c r="N882" s="303"/>
      <c r="O882" s="304"/>
      <c r="P882" s="312"/>
      <c r="Q882" s="312"/>
      <c r="R882" s="76"/>
      <c r="S882" s="307"/>
      <c r="T882" s="301"/>
      <c r="U882" s="301"/>
      <c r="W882" s="267"/>
      <c r="X882" s="240"/>
      <c r="Y882" s="268"/>
      <c r="Z882" s="240"/>
      <c r="AA882" s="241"/>
    </row>
    <row r="883" spans="1:27" s="322" customFormat="1">
      <c r="A883" s="312"/>
      <c r="B883" s="76"/>
      <c r="C883" s="76"/>
      <c r="D883" s="324"/>
      <c r="E883" s="325"/>
      <c r="F883" s="325"/>
      <c r="G883" s="325"/>
      <c r="H883" s="325"/>
      <c r="I883" s="325"/>
      <c r="J883" s="325"/>
      <c r="K883" s="325"/>
      <c r="L883" s="325"/>
      <c r="M883" s="325"/>
      <c r="N883" s="303"/>
      <c r="O883" s="304"/>
      <c r="P883" s="312"/>
      <c r="Q883" s="312"/>
      <c r="R883" s="76"/>
      <c r="S883" s="307"/>
      <c r="T883" s="301"/>
      <c r="U883" s="301"/>
      <c r="W883" s="267"/>
      <c r="X883" s="240"/>
      <c r="Y883" s="268"/>
      <c r="Z883" s="240"/>
      <c r="AA883" s="241"/>
    </row>
    <row r="884" spans="1:27" s="322" customFormat="1">
      <c r="A884" s="312"/>
      <c r="B884" s="76"/>
      <c r="C884" s="76"/>
      <c r="D884" s="324"/>
      <c r="E884" s="325"/>
      <c r="F884" s="325"/>
      <c r="G884" s="325"/>
      <c r="H884" s="325"/>
      <c r="I884" s="325"/>
      <c r="J884" s="325"/>
      <c r="K884" s="325"/>
      <c r="L884" s="325"/>
      <c r="M884" s="325"/>
      <c r="N884" s="303"/>
      <c r="O884" s="304"/>
      <c r="P884" s="312"/>
      <c r="Q884" s="312"/>
      <c r="R884" s="76"/>
      <c r="S884" s="307"/>
      <c r="T884" s="301"/>
      <c r="U884" s="301"/>
      <c r="W884" s="267"/>
      <c r="X884" s="240"/>
      <c r="Y884" s="268"/>
      <c r="Z884" s="240"/>
      <c r="AA884" s="241"/>
    </row>
    <row r="885" spans="1:27" s="322" customFormat="1">
      <c r="A885" s="312"/>
      <c r="B885" s="76"/>
      <c r="C885" s="76"/>
      <c r="D885" s="324"/>
      <c r="E885" s="325"/>
      <c r="F885" s="325"/>
      <c r="G885" s="325"/>
      <c r="H885" s="325"/>
      <c r="I885" s="325"/>
      <c r="J885" s="325"/>
      <c r="K885" s="325"/>
      <c r="L885" s="325"/>
      <c r="M885" s="325"/>
      <c r="N885" s="303"/>
      <c r="O885" s="304"/>
      <c r="P885" s="312"/>
      <c r="Q885" s="312"/>
      <c r="R885" s="76"/>
      <c r="S885" s="307"/>
      <c r="T885" s="301"/>
      <c r="U885" s="301"/>
      <c r="W885" s="267"/>
      <c r="X885" s="240"/>
      <c r="Y885" s="268"/>
      <c r="Z885" s="240"/>
      <c r="AA885" s="241"/>
    </row>
    <row r="886" spans="1:27" s="322" customFormat="1">
      <c r="A886" s="312"/>
      <c r="B886" s="76"/>
      <c r="C886" s="76"/>
      <c r="D886" s="324"/>
      <c r="E886" s="325"/>
      <c r="F886" s="325"/>
      <c r="G886" s="325"/>
      <c r="H886" s="325"/>
      <c r="I886" s="325"/>
      <c r="J886" s="325"/>
      <c r="K886" s="325"/>
      <c r="L886" s="325"/>
      <c r="M886" s="325"/>
      <c r="N886" s="303"/>
      <c r="O886" s="304"/>
      <c r="P886" s="312"/>
      <c r="Q886" s="312"/>
      <c r="R886" s="76"/>
      <c r="S886" s="307"/>
      <c r="T886" s="301"/>
      <c r="U886" s="301"/>
      <c r="W886" s="267"/>
      <c r="X886" s="240"/>
      <c r="Y886" s="268"/>
      <c r="Z886" s="240"/>
      <c r="AA886" s="241"/>
    </row>
    <row r="887" spans="1:27" s="322" customFormat="1">
      <c r="A887" s="312"/>
      <c r="B887" s="76"/>
      <c r="C887" s="76"/>
      <c r="D887" s="324"/>
      <c r="E887" s="325"/>
      <c r="F887" s="325"/>
      <c r="G887" s="325"/>
      <c r="H887" s="325"/>
      <c r="I887" s="325"/>
      <c r="J887" s="325"/>
      <c r="K887" s="325"/>
      <c r="L887" s="325"/>
      <c r="M887" s="325"/>
      <c r="N887" s="303"/>
      <c r="O887" s="304"/>
      <c r="P887" s="312"/>
      <c r="Q887" s="312"/>
      <c r="R887" s="76"/>
      <c r="S887" s="307"/>
      <c r="T887" s="301"/>
      <c r="U887" s="301"/>
      <c r="W887" s="267"/>
      <c r="X887" s="240"/>
      <c r="Y887" s="268"/>
      <c r="Z887" s="240"/>
      <c r="AA887" s="241"/>
    </row>
    <row r="888" spans="1:27" s="322" customFormat="1">
      <c r="A888" s="312"/>
      <c r="B888" s="76"/>
      <c r="C888" s="76"/>
      <c r="D888" s="324"/>
      <c r="E888" s="325"/>
      <c r="F888" s="325"/>
      <c r="G888" s="325"/>
      <c r="H888" s="325"/>
      <c r="I888" s="325"/>
      <c r="J888" s="325"/>
      <c r="K888" s="325"/>
      <c r="L888" s="325"/>
      <c r="M888" s="325"/>
      <c r="N888" s="303"/>
      <c r="O888" s="304"/>
      <c r="P888" s="312"/>
      <c r="Q888" s="312"/>
      <c r="R888" s="76"/>
      <c r="S888" s="307"/>
      <c r="T888" s="301"/>
      <c r="U888" s="301"/>
      <c r="W888" s="267"/>
      <c r="X888" s="240"/>
      <c r="Y888" s="268"/>
      <c r="Z888" s="240"/>
      <c r="AA888" s="241"/>
    </row>
    <row r="889" spans="1:27" s="322" customFormat="1">
      <c r="A889" s="312"/>
      <c r="B889" s="76"/>
      <c r="C889" s="76"/>
      <c r="D889" s="324"/>
      <c r="E889" s="325"/>
      <c r="F889" s="325"/>
      <c r="G889" s="325"/>
      <c r="H889" s="325"/>
      <c r="I889" s="325"/>
      <c r="J889" s="325"/>
      <c r="K889" s="325"/>
      <c r="L889" s="325"/>
      <c r="M889" s="325"/>
      <c r="N889" s="303"/>
      <c r="O889" s="304"/>
      <c r="P889" s="312"/>
      <c r="Q889" s="312"/>
      <c r="R889" s="76"/>
      <c r="S889" s="307"/>
      <c r="T889" s="301"/>
      <c r="U889" s="301"/>
      <c r="W889" s="267"/>
      <c r="X889" s="240"/>
      <c r="Y889" s="268"/>
      <c r="Z889" s="240"/>
      <c r="AA889" s="241"/>
    </row>
    <row r="890" spans="1:27" s="322" customFormat="1">
      <c r="A890" s="312"/>
      <c r="B890" s="76"/>
      <c r="C890" s="76"/>
      <c r="D890" s="324"/>
      <c r="E890" s="325"/>
      <c r="F890" s="325"/>
      <c r="G890" s="325"/>
      <c r="H890" s="325"/>
      <c r="I890" s="325"/>
      <c r="J890" s="325"/>
      <c r="K890" s="325"/>
      <c r="L890" s="325"/>
      <c r="M890" s="325"/>
      <c r="N890" s="303"/>
      <c r="O890" s="304"/>
      <c r="P890" s="312"/>
      <c r="Q890" s="312"/>
      <c r="R890" s="76"/>
      <c r="S890" s="307"/>
      <c r="T890" s="301"/>
      <c r="U890" s="301"/>
      <c r="W890" s="267"/>
      <c r="X890" s="240"/>
      <c r="Y890" s="268"/>
      <c r="Z890" s="240"/>
      <c r="AA890" s="241"/>
    </row>
    <row r="891" spans="1:27" s="322" customFormat="1">
      <c r="A891" s="312"/>
      <c r="B891" s="76"/>
      <c r="C891" s="76"/>
      <c r="D891" s="324"/>
      <c r="E891" s="325"/>
      <c r="F891" s="325"/>
      <c r="G891" s="325"/>
      <c r="H891" s="325"/>
      <c r="I891" s="325"/>
      <c r="J891" s="325"/>
      <c r="K891" s="325"/>
      <c r="L891" s="325"/>
      <c r="M891" s="325"/>
      <c r="N891" s="303"/>
      <c r="O891" s="304"/>
      <c r="P891" s="312"/>
      <c r="Q891" s="314"/>
      <c r="R891" s="315"/>
      <c r="S891" s="307"/>
      <c r="T891" s="301"/>
      <c r="U891" s="301"/>
      <c r="W891" s="267"/>
      <c r="X891" s="240"/>
      <c r="Y891" s="268"/>
      <c r="Z891" s="240"/>
      <c r="AA891" s="241"/>
    </row>
    <row r="892" spans="1:27" s="322" customFormat="1">
      <c r="A892" s="312"/>
      <c r="B892" s="76"/>
      <c r="C892" s="76"/>
      <c r="D892" s="324"/>
      <c r="E892" s="325"/>
      <c r="F892" s="325"/>
      <c r="G892" s="325"/>
      <c r="H892" s="325"/>
      <c r="I892" s="325"/>
      <c r="J892" s="325"/>
      <c r="K892" s="325"/>
      <c r="L892" s="325"/>
      <c r="M892" s="325"/>
      <c r="N892" s="303"/>
      <c r="O892" s="304"/>
      <c r="P892" s="312"/>
      <c r="Q892" s="314"/>
      <c r="R892" s="315"/>
      <c r="S892" s="307"/>
      <c r="T892" s="301"/>
      <c r="U892" s="301"/>
      <c r="W892" s="267"/>
      <c r="X892" s="240"/>
      <c r="Y892" s="268"/>
      <c r="Z892" s="240"/>
      <c r="AA892" s="241"/>
    </row>
    <row r="893" spans="1:27" s="322" customFormat="1">
      <c r="A893" s="312"/>
      <c r="B893" s="76"/>
      <c r="C893" s="76"/>
      <c r="D893" s="324"/>
      <c r="E893" s="325"/>
      <c r="F893" s="325"/>
      <c r="G893" s="325"/>
      <c r="H893" s="325"/>
      <c r="I893" s="325"/>
      <c r="J893" s="325"/>
      <c r="K893" s="325"/>
      <c r="L893" s="325"/>
      <c r="M893" s="325"/>
      <c r="N893" s="303"/>
      <c r="O893" s="304"/>
      <c r="P893" s="312"/>
      <c r="Q893" s="314"/>
      <c r="R893" s="315"/>
      <c r="S893" s="307"/>
      <c r="T893" s="301"/>
      <c r="U893" s="301"/>
      <c r="W893" s="267"/>
      <c r="X893" s="240"/>
      <c r="Y893" s="268"/>
      <c r="Z893" s="240"/>
      <c r="AA893" s="241"/>
    </row>
    <row r="894" spans="1:27" s="322" customFormat="1">
      <c r="A894" s="312"/>
      <c r="B894" s="76"/>
      <c r="C894" s="76"/>
      <c r="D894" s="324"/>
      <c r="E894" s="325"/>
      <c r="F894" s="325"/>
      <c r="G894" s="325"/>
      <c r="H894" s="325"/>
      <c r="I894" s="325"/>
      <c r="J894" s="325"/>
      <c r="K894" s="325"/>
      <c r="L894" s="325"/>
      <c r="M894" s="325"/>
      <c r="N894" s="303"/>
      <c r="O894" s="304"/>
      <c r="P894" s="312"/>
      <c r="Q894" s="312"/>
      <c r="R894" s="76"/>
      <c r="S894" s="307"/>
      <c r="T894" s="301"/>
      <c r="U894" s="301"/>
      <c r="W894" s="267"/>
      <c r="X894" s="240"/>
      <c r="Y894" s="268"/>
      <c r="Z894" s="240"/>
      <c r="AA894" s="241"/>
    </row>
    <row r="895" spans="1:27" s="322" customFormat="1">
      <c r="A895" s="312"/>
      <c r="B895" s="76"/>
      <c r="C895" s="76"/>
      <c r="D895" s="324"/>
      <c r="E895" s="325"/>
      <c r="F895" s="325"/>
      <c r="G895" s="325"/>
      <c r="H895" s="325"/>
      <c r="I895" s="325"/>
      <c r="J895" s="325"/>
      <c r="K895" s="325"/>
      <c r="L895" s="325"/>
      <c r="M895" s="325"/>
      <c r="N895" s="303"/>
      <c r="O895" s="304"/>
      <c r="P895" s="312"/>
      <c r="Q895" s="312"/>
      <c r="R895" s="76"/>
      <c r="S895" s="307"/>
      <c r="T895" s="301"/>
      <c r="U895" s="301"/>
      <c r="W895" s="267"/>
      <c r="X895" s="240"/>
      <c r="Y895" s="268"/>
      <c r="Z895" s="240"/>
      <c r="AA895" s="241"/>
    </row>
    <row r="896" spans="1:27" s="322" customFormat="1">
      <c r="A896" s="312"/>
      <c r="B896" s="76"/>
      <c r="C896" s="76"/>
      <c r="D896" s="324"/>
      <c r="E896" s="325"/>
      <c r="F896" s="325"/>
      <c r="G896" s="325"/>
      <c r="H896" s="325"/>
      <c r="I896" s="325"/>
      <c r="J896" s="325"/>
      <c r="K896" s="325"/>
      <c r="L896" s="325"/>
      <c r="M896" s="325"/>
      <c r="N896" s="303"/>
      <c r="O896" s="304"/>
      <c r="P896" s="312"/>
      <c r="Q896" s="312"/>
      <c r="R896" s="76"/>
      <c r="S896" s="307"/>
      <c r="T896" s="301"/>
      <c r="U896" s="301"/>
      <c r="W896" s="267"/>
      <c r="X896" s="240"/>
      <c r="Y896" s="268"/>
      <c r="Z896" s="240"/>
      <c r="AA896" s="241"/>
    </row>
    <row r="897" spans="1:27" s="322" customFormat="1">
      <c r="A897" s="312"/>
      <c r="B897" s="76"/>
      <c r="C897" s="76"/>
      <c r="D897" s="324"/>
      <c r="E897" s="325"/>
      <c r="F897" s="325"/>
      <c r="G897" s="325"/>
      <c r="H897" s="325"/>
      <c r="I897" s="325"/>
      <c r="J897" s="325"/>
      <c r="K897" s="325"/>
      <c r="L897" s="325"/>
      <c r="M897" s="325"/>
      <c r="N897" s="303"/>
      <c r="O897" s="304"/>
      <c r="P897" s="312"/>
      <c r="Q897" s="312"/>
      <c r="R897" s="76"/>
      <c r="S897" s="307"/>
      <c r="T897" s="301"/>
      <c r="U897" s="301"/>
      <c r="W897" s="267"/>
      <c r="X897" s="240"/>
      <c r="Y897" s="268"/>
      <c r="Z897" s="240"/>
      <c r="AA897" s="241"/>
    </row>
    <row r="898" spans="1:27" s="322" customFormat="1">
      <c r="A898" s="312"/>
      <c r="B898" s="76"/>
      <c r="C898" s="76"/>
      <c r="D898" s="324"/>
      <c r="E898" s="325"/>
      <c r="F898" s="325"/>
      <c r="G898" s="325"/>
      <c r="H898" s="325"/>
      <c r="I898" s="325"/>
      <c r="J898" s="325"/>
      <c r="K898" s="325"/>
      <c r="L898" s="325"/>
      <c r="M898" s="325"/>
      <c r="N898" s="303"/>
      <c r="O898" s="304"/>
      <c r="P898" s="312"/>
      <c r="Q898" s="312"/>
      <c r="R898" s="76"/>
      <c r="S898" s="307"/>
      <c r="T898" s="301"/>
      <c r="U898" s="301"/>
      <c r="W898" s="267"/>
      <c r="X898" s="240"/>
      <c r="Y898" s="268"/>
      <c r="Z898" s="240"/>
      <c r="AA898" s="241"/>
    </row>
    <row r="899" spans="1:27" s="322" customFormat="1">
      <c r="A899" s="312"/>
      <c r="B899" s="76"/>
      <c r="C899" s="76"/>
      <c r="D899" s="324"/>
      <c r="E899" s="325"/>
      <c r="F899" s="325"/>
      <c r="G899" s="325"/>
      <c r="H899" s="325"/>
      <c r="I899" s="325"/>
      <c r="J899" s="325"/>
      <c r="K899" s="325"/>
      <c r="L899" s="325"/>
      <c r="M899" s="325"/>
      <c r="N899" s="303"/>
      <c r="O899" s="304"/>
      <c r="P899" s="312"/>
      <c r="Q899" s="312"/>
      <c r="R899" s="76"/>
      <c r="S899" s="307"/>
      <c r="T899" s="301"/>
      <c r="U899" s="301"/>
      <c r="W899" s="267"/>
      <c r="X899" s="240"/>
      <c r="Y899" s="268"/>
      <c r="Z899" s="240"/>
      <c r="AA899" s="241"/>
    </row>
    <row r="900" spans="1:27" s="322" customFormat="1">
      <c r="A900" s="312"/>
      <c r="B900" s="76"/>
      <c r="C900" s="76"/>
      <c r="D900" s="324"/>
      <c r="E900" s="325"/>
      <c r="F900" s="325"/>
      <c r="G900" s="325"/>
      <c r="H900" s="325"/>
      <c r="I900" s="325"/>
      <c r="J900" s="325"/>
      <c r="K900" s="325"/>
      <c r="L900" s="325"/>
      <c r="M900" s="325"/>
      <c r="N900" s="303"/>
      <c r="O900" s="304"/>
      <c r="P900" s="312"/>
      <c r="Q900" s="312"/>
      <c r="R900" s="76"/>
      <c r="S900" s="307"/>
      <c r="T900" s="301"/>
      <c r="U900" s="301"/>
      <c r="W900" s="267"/>
      <c r="X900" s="240"/>
      <c r="Y900" s="268"/>
      <c r="Z900" s="240"/>
      <c r="AA900" s="241"/>
    </row>
    <row r="901" spans="1:27" s="322" customFormat="1">
      <c r="A901" s="312"/>
      <c r="B901" s="76"/>
      <c r="C901" s="76"/>
      <c r="D901" s="324"/>
      <c r="E901" s="325"/>
      <c r="F901" s="325"/>
      <c r="G901" s="325"/>
      <c r="H901" s="325"/>
      <c r="I901" s="325"/>
      <c r="J901" s="325"/>
      <c r="K901" s="325"/>
      <c r="L901" s="325"/>
      <c r="M901" s="325"/>
      <c r="N901" s="303"/>
      <c r="O901" s="304"/>
      <c r="P901" s="312"/>
      <c r="Q901" s="312"/>
      <c r="R901" s="76"/>
      <c r="S901" s="307"/>
      <c r="T901" s="301"/>
      <c r="U901" s="301"/>
      <c r="W901" s="267"/>
      <c r="X901" s="240"/>
      <c r="Y901" s="268"/>
      <c r="Z901" s="240"/>
      <c r="AA901" s="241"/>
    </row>
    <row r="902" spans="1:27" s="322" customFormat="1">
      <c r="A902" s="312"/>
      <c r="B902" s="76"/>
      <c r="C902" s="76"/>
      <c r="D902" s="324"/>
      <c r="E902" s="325"/>
      <c r="F902" s="325"/>
      <c r="G902" s="325"/>
      <c r="H902" s="325"/>
      <c r="I902" s="325"/>
      <c r="J902" s="325"/>
      <c r="K902" s="325"/>
      <c r="L902" s="325"/>
      <c r="M902" s="325"/>
      <c r="N902" s="303"/>
      <c r="O902" s="304"/>
      <c r="P902" s="312"/>
      <c r="Q902" s="312"/>
      <c r="R902" s="76"/>
      <c r="S902" s="307"/>
      <c r="T902" s="301"/>
      <c r="U902" s="301"/>
      <c r="W902" s="267"/>
      <c r="X902" s="240"/>
      <c r="Y902" s="268"/>
      <c r="Z902" s="240"/>
      <c r="AA902" s="241"/>
    </row>
    <row r="903" spans="1:27" s="322" customFormat="1">
      <c r="A903" s="312"/>
      <c r="B903" s="76"/>
      <c r="C903" s="76"/>
      <c r="D903" s="324"/>
      <c r="E903" s="325"/>
      <c r="F903" s="325"/>
      <c r="G903" s="325"/>
      <c r="H903" s="325"/>
      <c r="I903" s="325"/>
      <c r="J903" s="325"/>
      <c r="K903" s="325"/>
      <c r="L903" s="325"/>
      <c r="M903" s="325"/>
      <c r="N903" s="303"/>
      <c r="O903" s="304"/>
      <c r="P903" s="312"/>
      <c r="Q903" s="312"/>
      <c r="R903" s="76"/>
      <c r="S903" s="307"/>
      <c r="T903" s="301"/>
      <c r="U903" s="301"/>
      <c r="W903" s="267"/>
      <c r="X903" s="240"/>
      <c r="Y903" s="268"/>
      <c r="Z903" s="240"/>
      <c r="AA903" s="241"/>
    </row>
    <row r="904" spans="1:27" s="322" customFormat="1">
      <c r="A904" s="312"/>
      <c r="B904" s="76"/>
      <c r="C904" s="76"/>
      <c r="D904" s="324"/>
      <c r="E904" s="325"/>
      <c r="F904" s="325"/>
      <c r="G904" s="325"/>
      <c r="H904" s="325"/>
      <c r="I904" s="325"/>
      <c r="J904" s="325"/>
      <c r="K904" s="325"/>
      <c r="L904" s="325"/>
      <c r="M904" s="325"/>
      <c r="N904" s="303"/>
      <c r="O904" s="304"/>
      <c r="P904" s="312"/>
      <c r="Q904" s="312"/>
      <c r="R904" s="76"/>
      <c r="S904" s="307"/>
      <c r="T904" s="301"/>
      <c r="U904" s="301"/>
      <c r="W904" s="267"/>
      <c r="X904" s="240"/>
      <c r="Y904" s="268"/>
      <c r="Z904" s="240"/>
      <c r="AA904" s="241"/>
    </row>
    <row r="905" spans="1:27" s="322" customFormat="1">
      <c r="A905" s="312"/>
      <c r="B905" s="76"/>
      <c r="C905" s="76"/>
      <c r="D905" s="330"/>
      <c r="E905" s="331"/>
      <c r="F905" s="331"/>
      <c r="G905" s="331"/>
      <c r="H905" s="331"/>
      <c r="I905" s="331"/>
      <c r="J905" s="331"/>
      <c r="K905" s="331"/>
      <c r="L905" s="331"/>
      <c r="M905" s="331"/>
      <c r="N905" s="303"/>
      <c r="O905" s="304"/>
      <c r="P905" s="312"/>
      <c r="Q905" s="312"/>
      <c r="R905" s="76"/>
      <c r="S905" s="307"/>
      <c r="T905" s="301"/>
      <c r="U905" s="301"/>
      <c r="W905" s="267"/>
      <c r="X905" s="240"/>
      <c r="Y905" s="268"/>
      <c r="Z905" s="240"/>
      <c r="AA905" s="241"/>
    </row>
    <row r="906" spans="1:27" s="322" customFormat="1">
      <c r="A906" s="312"/>
      <c r="B906" s="76"/>
      <c r="C906" s="76"/>
      <c r="D906" s="330"/>
      <c r="E906" s="331"/>
      <c r="F906" s="331"/>
      <c r="G906" s="331"/>
      <c r="H906" s="331"/>
      <c r="I906" s="331"/>
      <c r="J906" s="331"/>
      <c r="K906" s="331"/>
      <c r="L906" s="331"/>
      <c r="M906" s="331"/>
      <c r="N906" s="303"/>
      <c r="O906" s="304"/>
      <c r="P906" s="312"/>
      <c r="Q906" s="312"/>
      <c r="R906" s="76"/>
      <c r="S906" s="307"/>
      <c r="T906" s="301"/>
      <c r="U906" s="301"/>
      <c r="W906" s="267"/>
      <c r="X906" s="240"/>
      <c r="Y906" s="268"/>
      <c r="Z906" s="240"/>
      <c r="AA906" s="241"/>
    </row>
    <row r="907" spans="1:27" s="322" customFormat="1">
      <c r="A907" s="312"/>
      <c r="B907" s="76"/>
      <c r="C907" s="76"/>
      <c r="D907" s="330"/>
      <c r="E907" s="331"/>
      <c r="F907" s="331"/>
      <c r="G907" s="331"/>
      <c r="H907" s="331"/>
      <c r="I907" s="331"/>
      <c r="J907" s="331"/>
      <c r="K907" s="331"/>
      <c r="L907" s="331"/>
      <c r="M907" s="331"/>
      <c r="N907" s="303"/>
      <c r="O907" s="304"/>
      <c r="P907" s="312"/>
      <c r="Q907" s="312"/>
      <c r="R907" s="76"/>
      <c r="S907" s="307"/>
      <c r="T907" s="301"/>
      <c r="U907" s="301"/>
      <c r="W907" s="267"/>
      <c r="X907" s="240"/>
      <c r="Y907" s="268"/>
      <c r="Z907" s="240"/>
      <c r="AA907" s="241"/>
    </row>
    <row r="908" spans="1:27" s="322" customFormat="1">
      <c r="A908" s="312"/>
      <c r="B908" s="76"/>
      <c r="C908" s="76"/>
      <c r="D908" s="330"/>
      <c r="E908" s="331"/>
      <c r="F908" s="331"/>
      <c r="G908" s="331"/>
      <c r="H908" s="331"/>
      <c r="I908" s="331"/>
      <c r="J908" s="331"/>
      <c r="K908" s="331"/>
      <c r="L908" s="331"/>
      <c r="M908" s="331"/>
      <c r="N908" s="303"/>
      <c r="O908" s="304"/>
      <c r="P908" s="312"/>
      <c r="Q908" s="312"/>
      <c r="R908" s="76"/>
      <c r="S908" s="307"/>
      <c r="T908" s="301"/>
      <c r="U908" s="301"/>
      <c r="W908" s="267"/>
      <c r="X908" s="240"/>
      <c r="Y908" s="268"/>
      <c r="Z908" s="240"/>
      <c r="AA908" s="241"/>
    </row>
    <row r="909" spans="1:27" s="322" customFormat="1">
      <c r="A909" s="312"/>
      <c r="B909" s="76"/>
      <c r="C909" s="76"/>
      <c r="D909" s="330"/>
      <c r="E909" s="331"/>
      <c r="F909" s="331"/>
      <c r="G909" s="331"/>
      <c r="H909" s="331"/>
      <c r="I909" s="331"/>
      <c r="J909" s="331"/>
      <c r="K909" s="331"/>
      <c r="L909" s="331"/>
      <c r="M909" s="331"/>
      <c r="N909" s="303"/>
      <c r="O909" s="304"/>
      <c r="P909" s="312"/>
      <c r="Q909" s="312"/>
      <c r="R909" s="76"/>
      <c r="S909" s="307"/>
      <c r="T909" s="301"/>
      <c r="U909" s="301"/>
      <c r="W909" s="267"/>
      <c r="X909" s="240"/>
      <c r="Y909" s="268"/>
      <c r="Z909" s="240"/>
      <c r="AA909" s="241"/>
    </row>
    <row r="910" spans="1:27" s="322" customFormat="1">
      <c r="A910" s="312"/>
      <c r="B910" s="76"/>
      <c r="C910" s="76"/>
      <c r="D910" s="330"/>
      <c r="E910" s="331"/>
      <c r="F910" s="331"/>
      <c r="G910" s="331"/>
      <c r="H910" s="331"/>
      <c r="I910" s="331"/>
      <c r="J910" s="331"/>
      <c r="K910" s="331"/>
      <c r="L910" s="331"/>
      <c r="M910" s="331"/>
      <c r="N910" s="332"/>
      <c r="O910" s="304"/>
      <c r="P910" s="312"/>
      <c r="Q910" s="312"/>
      <c r="R910" s="76"/>
      <c r="S910" s="307"/>
      <c r="T910" s="301"/>
      <c r="U910" s="301"/>
      <c r="W910" s="267"/>
      <c r="X910" s="240"/>
      <c r="Y910" s="268"/>
      <c r="Z910" s="240"/>
      <c r="AA910" s="241"/>
    </row>
    <row r="911" spans="1:27" s="322" customFormat="1">
      <c r="A911" s="312"/>
      <c r="B911" s="76"/>
      <c r="C911" s="76"/>
      <c r="D911" s="330"/>
      <c r="E911" s="331"/>
      <c r="F911" s="331"/>
      <c r="G911" s="331"/>
      <c r="H911" s="331"/>
      <c r="I911" s="331"/>
      <c r="J911" s="331"/>
      <c r="K911" s="331"/>
      <c r="L911" s="331"/>
      <c r="M911" s="331"/>
      <c r="N911" s="303"/>
      <c r="O911" s="304"/>
      <c r="P911" s="312"/>
      <c r="Q911" s="312"/>
      <c r="R911" s="76"/>
      <c r="S911" s="307"/>
      <c r="T911" s="301"/>
      <c r="U911" s="301"/>
      <c r="W911" s="267"/>
      <c r="X911" s="240"/>
      <c r="Y911" s="268"/>
      <c r="Z911" s="240"/>
      <c r="AA911" s="241"/>
    </row>
    <row r="912" spans="1:27" s="322" customFormat="1">
      <c r="A912" s="312"/>
      <c r="B912" s="76"/>
      <c r="C912" s="76"/>
      <c r="D912" s="330"/>
      <c r="E912" s="331"/>
      <c r="F912" s="331"/>
      <c r="G912" s="331"/>
      <c r="H912" s="331"/>
      <c r="I912" s="331"/>
      <c r="J912" s="331"/>
      <c r="K912" s="331"/>
      <c r="L912" s="331"/>
      <c r="M912" s="331"/>
      <c r="N912" s="303"/>
      <c r="O912" s="304"/>
      <c r="P912" s="312"/>
      <c r="Q912" s="312"/>
      <c r="R912" s="76"/>
      <c r="S912" s="307"/>
      <c r="T912" s="301"/>
      <c r="U912" s="301"/>
      <c r="W912" s="267"/>
      <c r="X912" s="240"/>
      <c r="Y912" s="268"/>
      <c r="Z912" s="240"/>
      <c r="AA912" s="241"/>
    </row>
    <row r="913" spans="1:27" s="322" customFormat="1">
      <c r="A913" s="312"/>
      <c r="B913" s="76"/>
      <c r="C913" s="76"/>
      <c r="D913" s="330"/>
      <c r="E913" s="331"/>
      <c r="F913" s="331"/>
      <c r="G913" s="331"/>
      <c r="H913" s="331"/>
      <c r="I913" s="331"/>
      <c r="J913" s="331"/>
      <c r="K913" s="331"/>
      <c r="L913" s="331"/>
      <c r="M913" s="331"/>
      <c r="N913" s="303"/>
      <c r="O913" s="304"/>
      <c r="P913" s="312"/>
      <c r="Q913" s="312"/>
      <c r="R913" s="76"/>
      <c r="S913" s="307"/>
      <c r="T913" s="301"/>
      <c r="U913" s="301"/>
      <c r="W913" s="267"/>
      <c r="X913" s="240"/>
      <c r="Y913" s="268"/>
      <c r="Z913" s="240"/>
      <c r="AA913" s="241"/>
    </row>
    <row r="914" spans="1:27" s="322" customFormat="1">
      <c r="A914" s="312"/>
      <c r="B914" s="76"/>
      <c r="C914" s="76"/>
      <c r="D914" s="330"/>
      <c r="E914" s="331"/>
      <c r="F914" s="331"/>
      <c r="G914" s="331"/>
      <c r="H914" s="331"/>
      <c r="I914" s="331"/>
      <c r="J914" s="331"/>
      <c r="K914" s="331"/>
      <c r="L914" s="331"/>
      <c r="M914" s="331"/>
      <c r="N914" s="303"/>
      <c r="O914" s="304"/>
      <c r="P914" s="312"/>
      <c r="Q914" s="312"/>
      <c r="R914" s="76"/>
      <c r="S914" s="307"/>
      <c r="T914" s="301"/>
      <c r="U914" s="301"/>
      <c r="W914" s="267"/>
      <c r="X914" s="240"/>
      <c r="Y914" s="268"/>
      <c r="Z914" s="240"/>
      <c r="AA914" s="241"/>
    </row>
    <row r="915" spans="1:27" s="322" customFormat="1">
      <c r="A915" s="312"/>
      <c r="B915" s="76"/>
      <c r="C915" s="76"/>
      <c r="D915" s="330"/>
      <c r="E915" s="331"/>
      <c r="F915" s="331"/>
      <c r="G915" s="331"/>
      <c r="H915" s="331"/>
      <c r="I915" s="331"/>
      <c r="J915" s="331"/>
      <c r="K915" s="331"/>
      <c r="L915" s="331"/>
      <c r="M915" s="331"/>
      <c r="N915" s="303"/>
      <c r="O915" s="304"/>
      <c r="P915" s="312"/>
      <c r="Q915" s="312"/>
      <c r="R915" s="76"/>
      <c r="S915" s="307"/>
      <c r="T915" s="301"/>
      <c r="U915" s="301"/>
      <c r="W915" s="267"/>
      <c r="X915" s="240"/>
      <c r="Y915" s="268"/>
      <c r="Z915" s="240"/>
      <c r="AA915" s="241"/>
    </row>
    <row r="916" spans="1:27" s="322" customFormat="1">
      <c r="A916" s="312"/>
      <c r="B916" s="76"/>
      <c r="C916" s="76"/>
      <c r="D916" s="330"/>
      <c r="E916" s="331"/>
      <c r="F916" s="331"/>
      <c r="G916" s="331"/>
      <c r="H916" s="331"/>
      <c r="I916" s="331"/>
      <c r="J916" s="331"/>
      <c r="K916" s="331"/>
      <c r="L916" s="331"/>
      <c r="M916" s="331"/>
      <c r="N916" s="303"/>
      <c r="O916" s="304"/>
      <c r="P916" s="312"/>
      <c r="Q916" s="312"/>
      <c r="R916" s="76"/>
      <c r="S916" s="307"/>
      <c r="T916" s="301"/>
      <c r="U916" s="301"/>
      <c r="W916" s="267"/>
      <c r="X916" s="240"/>
      <c r="Y916" s="268"/>
      <c r="Z916" s="240"/>
      <c r="AA916" s="241"/>
    </row>
    <row r="917" spans="1:27" s="322" customFormat="1">
      <c r="A917" s="312"/>
      <c r="B917" s="76"/>
      <c r="C917" s="76"/>
      <c r="D917" s="330"/>
      <c r="E917" s="331"/>
      <c r="F917" s="331"/>
      <c r="G917" s="331"/>
      <c r="H917" s="331"/>
      <c r="I917" s="331"/>
      <c r="J917" s="331"/>
      <c r="K917" s="331"/>
      <c r="L917" s="331"/>
      <c r="M917" s="331"/>
      <c r="N917" s="303"/>
      <c r="O917" s="304"/>
      <c r="P917" s="312"/>
      <c r="Q917" s="312"/>
      <c r="R917" s="76"/>
      <c r="S917" s="307"/>
      <c r="T917" s="301"/>
      <c r="U917" s="301"/>
      <c r="W917" s="267"/>
      <c r="X917" s="240"/>
      <c r="Y917" s="268"/>
      <c r="Z917" s="240"/>
      <c r="AA917" s="241"/>
    </row>
    <row r="918" spans="1:27" s="322" customFormat="1">
      <c r="A918" s="312"/>
      <c r="B918" s="76"/>
      <c r="C918" s="76"/>
      <c r="D918" s="330"/>
      <c r="E918" s="331"/>
      <c r="F918" s="331"/>
      <c r="G918" s="331"/>
      <c r="H918" s="331"/>
      <c r="I918" s="331"/>
      <c r="J918" s="331"/>
      <c r="K918" s="331"/>
      <c r="L918" s="331"/>
      <c r="M918" s="331"/>
      <c r="N918" s="303"/>
      <c r="O918" s="304"/>
      <c r="P918" s="312"/>
      <c r="Q918" s="312"/>
      <c r="R918" s="76"/>
      <c r="S918" s="307"/>
      <c r="T918" s="301"/>
      <c r="U918" s="301"/>
      <c r="W918" s="267"/>
      <c r="X918" s="240"/>
      <c r="Y918" s="268"/>
      <c r="Z918" s="240"/>
      <c r="AA918" s="241"/>
    </row>
    <row r="919" spans="1:27" s="322" customFormat="1">
      <c r="A919" s="312"/>
      <c r="B919" s="76"/>
      <c r="C919" s="76"/>
      <c r="D919" s="330"/>
      <c r="E919" s="331"/>
      <c r="F919" s="331"/>
      <c r="G919" s="331"/>
      <c r="H919" s="331"/>
      <c r="I919" s="331"/>
      <c r="J919" s="331"/>
      <c r="K919" s="331"/>
      <c r="L919" s="331"/>
      <c r="M919" s="331"/>
      <c r="N919" s="303"/>
      <c r="O919" s="304"/>
      <c r="P919" s="312"/>
      <c r="Q919" s="312"/>
      <c r="R919" s="76"/>
      <c r="S919" s="307"/>
      <c r="T919" s="301"/>
      <c r="U919" s="301"/>
      <c r="W919" s="267"/>
      <c r="X919" s="240"/>
      <c r="Y919" s="268"/>
      <c r="Z919" s="240"/>
      <c r="AA919" s="241"/>
    </row>
    <row r="920" spans="1:27" s="322" customFormat="1">
      <c r="A920" s="312"/>
      <c r="B920" s="76"/>
      <c r="C920" s="76"/>
      <c r="D920" s="330"/>
      <c r="E920" s="331"/>
      <c r="F920" s="331"/>
      <c r="G920" s="331"/>
      <c r="H920" s="331"/>
      <c r="I920" s="331"/>
      <c r="J920" s="331"/>
      <c r="K920" s="331"/>
      <c r="L920" s="331"/>
      <c r="M920" s="331"/>
      <c r="N920" s="303"/>
      <c r="O920" s="304"/>
      <c r="P920" s="312"/>
      <c r="Q920" s="312"/>
      <c r="R920" s="76"/>
      <c r="S920" s="307"/>
      <c r="T920" s="301"/>
      <c r="U920" s="301"/>
      <c r="W920" s="267"/>
      <c r="X920" s="240"/>
      <c r="Y920" s="268"/>
      <c r="Z920" s="240"/>
      <c r="AA920" s="241"/>
    </row>
    <row r="921" spans="1:27" s="322" customFormat="1">
      <c r="A921" s="312"/>
      <c r="B921" s="76"/>
      <c r="C921" s="76"/>
      <c r="D921" s="330"/>
      <c r="E921" s="331"/>
      <c r="F921" s="331"/>
      <c r="G921" s="331"/>
      <c r="H921" s="331"/>
      <c r="I921" s="331"/>
      <c r="J921" s="331"/>
      <c r="K921" s="331"/>
      <c r="L921" s="331"/>
      <c r="M921" s="331"/>
      <c r="N921" s="303"/>
      <c r="O921" s="304"/>
      <c r="P921" s="312"/>
      <c r="Q921" s="312"/>
      <c r="R921" s="76"/>
      <c r="S921" s="307"/>
      <c r="T921" s="301"/>
      <c r="U921" s="301"/>
      <c r="W921" s="267"/>
      <c r="X921" s="240"/>
      <c r="Y921" s="268"/>
      <c r="Z921" s="240"/>
      <c r="AA921" s="241"/>
    </row>
    <row r="922" spans="1:27" s="322" customFormat="1">
      <c r="A922" s="312"/>
      <c r="B922" s="76"/>
      <c r="C922" s="76"/>
      <c r="D922" s="330"/>
      <c r="E922" s="331"/>
      <c r="F922" s="331"/>
      <c r="G922" s="331"/>
      <c r="H922" s="331"/>
      <c r="I922" s="331"/>
      <c r="J922" s="331"/>
      <c r="K922" s="331"/>
      <c r="L922" s="331"/>
      <c r="M922" s="331"/>
      <c r="N922" s="303"/>
      <c r="O922" s="304"/>
      <c r="P922" s="312"/>
      <c r="Q922" s="312"/>
      <c r="R922" s="76"/>
      <c r="S922" s="307"/>
      <c r="T922" s="301"/>
      <c r="U922" s="301"/>
      <c r="W922" s="267"/>
      <c r="X922" s="240"/>
      <c r="Y922" s="268"/>
      <c r="Z922" s="240"/>
      <c r="AA922" s="241"/>
    </row>
    <row r="923" spans="1:27" s="322" customFormat="1">
      <c r="A923" s="312"/>
      <c r="B923" s="76"/>
      <c r="C923" s="76"/>
      <c r="D923" s="330"/>
      <c r="E923" s="331"/>
      <c r="F923" s="331"/>
      <c r="G923" s="331"/>
      <c r="H923" s="331"/>
      <c r="I923" s="331"/>
      <c r="J923" s="331"/>
      <c r="K923" s="331"/>
      <c r="L923" s="331"/>
      <c r="M923" s="331"/>
      <c r="N923" s="303"/>
      <c r="O923" s="304"/>
      <c r="P923" s="312"/>
      <c r="Q923" s="312"/>
      <c r="R923" s="76"/>
      <c r="S923" s="307"/>
      <c r="T923" s="301"/>
      <c r="U923" s="301"/>
      <c r="W923" s="267"/>
      <c r="X923" s="240"/>
      <c r="Y923" s="268"/>
      <c r="Z923" s="240"/>
      <c r="AA923" s="241"/>
    </row>
    <row r="924" spans="1:27" s="322" customFormat="1">
      <c r="A924" s="312"/>
      <c r="B924" s="76"/>
      <c r="C924" s="76"/>
      <c r="D924" s="330"/>
      <c r="E924" s="331"/>
      <c r="F924" s="331"/>
      <c r="G924" s="331"/>
      <c r="H924" s="331"/>
      <c r="I924" s="331"/>
      <c r="J924" s="331"/>
      <c r="K924" s="331"/>
      <c r="L924" s="331"/>
      <c r="M924" s="331"/>
      <c r="N924" s="303"/>
      <c r="O924" s="304"/>
      <c r="P924" s="312"/>
      <c r="Q924" s="312"/>
      <c r="R924" s="76"/>
      <c r="S924" s="307"/>
      <c r="T924" s="301"/>
      <c r="U924" s="301"/>
      <c r="W924" s="267"/>
      <c r="X924" s="240"/>
      <c r="Y924" s="268"/>
      <c r="Z924" s="240"/>
      <c r="AA924" s="241"/>
    </row>
    <row r="925" spans="1:27" s="322" customFormat="1">
      <c r="A925" s="312"/>
      <c r="B925" s="76"/>
      <c r="C925" s="76"/>
      <c r="D925" s="330"/>
      <c r="E925" s="331"/>
      <c r="F925" s="331"/>
      <c r="G925" s="331"/>
      <c r="H925" s="331"/>
      <c r="I925" s="331"/>
      <c r="J925" s="331"/>
      <c r="K925" s="331"/>
      <c r="L925" s="331"/>
      <c r="M925" s="331"/>
      <c r="N925" s="303"/>
      <c r="O925" s="304"/>
      <c r="P925" s="312"/>
      <c r="Q925" s="312"/>
      <c r="R925" s="76"/>
      <c r="S925" s="307"/>
      <c r="T925" s="301"/>
      <c r="U925" s="301"/>
      <c r="W925" s="267"/>
      <c r="X925" s="240"/>
      <c r="Y925" s="268"/>
      <c r="Z925" s="240"/>
      <c r="AA925" s="241"/>
    </row>
    <row r="926" spans="1:27" s="322" customFormat="1">
      <c r="A926" s="312"/>
      <c r="B926" s="76"/>
      <c r="C926" s="76"/>
      <c r="D926" s="330"/>
      <c r="E926" s="331"/>
      <c r="F926" s="331"/>
      <c r="G926" s="331"/>
      <c r="H926" s="331"/>
      <c r="I926" s="331"/>
      <c r="J926" s="331"/>
      <c r="K926" s="331"/>
      <c r="L926" s="331"/>
      <c r="M926" s="331"/>
      <c r="N926" s="303"/>
      <c r="O926" s="304"/>
      <c r="P926" s="312"/>
      <c r="Q926" s="312"/>
      <c r="R926" s="76"/>
      <c r="S926" s="307"/>
      <c r="T926" s="301"/>
      <c r="U926" s="301"/>
      <c r="W926" s="267"/>
      <c r="X926" s="240"/>
      <c r="Y926" s="268"/>
      <c r="Z926" s="240"/>
      <c r="AA926" s="241"/>
    </row>
    <row r="927" spans="1:27" s="322" customFormat="1">
      <c r="A927" s="312"/>
      <c r="B927" s="76"/>
      <c r="C927" s="76"/>
      <c r="D927" s="330"/>
      <c r="E927" s="331"/>
      <c r="F927" s="331"/>
      <c r="G927" s="331"/>
      <c r="H927" s="331"/>
      <c r="I927" s="331"/>
      <c r="J927" s="331"/>
      <c r="K927" s="331"/>
      <c r="L927" s="331"/>
      <c r="M927" s="331"/>
      <c r="N927" s="303"/>
      <c r="O927" s="304"/>
      <c r="P927" s="312"/>
      <c r="Q927" s="312"/>
      <c r="R927" s="76"/>
      <c r="S927" s="307"/>
      <c r="T927" s="301"/>
      <c r="U927" s="301"/>
      <c r="W927" s="267"/>
      <c r="X927" s="240"/>
      <c r="Y927" s="268"/>
      <c r="Z927" s="240"/>
      <c r="AA927" s="241"/>
    </row>
    <row r="928" spans="1:27" s="322" customFormat="1">
      <c r="A928" s="312"/>
      <c r="B928" s="76"/>
      <c r="C928" s="76"/>
      <c r="D928" s="330"/>
      <c r="E928" s="331"/>
      <c r="F928" s="331"/>
      <c r="G928" s="331"/>
      <c r="H928" s="331"/>
      <c r="I928" s="331"/>
      <c r="J928" s="331"/>
      <c r="K928" s="331"/>
      <c r="L928" s="331"/>
      <c r="M928" s="331"/>
      <c r="N928" s="303"/>
      <c r="O928" s="304"/>
      <c r="P928" s="312"/>
      <c r="Q928" s="312"/>
      <c r="R928" s="76"/>
      <c r="S928" s="307"/>
      <c r="T928" s="301"/>
      <c r="U928" s="301"/>
      <c r="W928" s="267"/>
      <c r="X928" s="240"/>
      <c r="Y928" s="268"/>
      <c r="Z928" s="240"/>
      <c r="AA928" s="241"/>
    </row>
    <row r="929" spans="1:27" s="322" customFormat="1">
      <c r="A929" s="312"/>
      <c r="B929" s="76"/>
      <c r="C929" s="76"/>
      <c r="D929" s="330"/>
      <c r="E929" s="331"/>
      <c r="F929" s="331"/>
      <c r="G929" s="331"/>
      <c r="H929" s="331"/>
      <c r="I929" s="331"/>
      <c r="J929" s="331"/>
      <c r="K929" s="331"/>
      <c r="L929" s="331"/>
      <c r="M929" s="331"/>
      <c r="N929" s="303"/>
      <c r="O929" s="304"/>
      <c r="P929" s="312"/>
      <c r="Q929" s="312"/>
      <c r="R929" s="76"/>
      <c r="S929" s="307"/>
      <c r="T929" s="301"/>
      <c r="U929" s="301"/>
      <c r="W929" s="267"/>
      <c r="X929" s="240"/>
      <c r="Y929" s="268"/>
      <c r="Z929" s="240"/>
      <c r="AA929" s="241"/>
    </row>
    <row r="930" spans="1:27" s="322" customFormat="1">
      <c r="A930" s="312"/>
      <c r="B930" s="76"/>
      <c r="C930" s="76"/>
      <c r="D930" s="330"/>
      <c r="E930" s="331"/>
      <c r="F930" s="331"/>
      <c r="G930" s="331"/>
      <c r="H930" s="331"/>
      <c r="I930" s="331"/>
      <c r="J930" s="331"/>
      <c r="K930" s="331"/>
      <c r="L930" s="331"/>
      <c r="M930" s="331"/>
      <c r="N930" s="303"/>
      <c r="O930" s="304"/>
      <c r="P930" s="312"/>
      <c r="Q930" s="312"/>
      <c r="R930" s="76"/>
      <c r="S930" s="307"/>
      <c r="T930" s="301"/>
      <c r="U930" s="301"/>
      <c r="W930" s="267"/>
      <c r="X930" s="240"/>
      <c r="Y930" s="268"/>
      <c r="Z930" s="240"/>
      <c r="AA930" s="241"/>
    </row>
    <row r="931" spans="1:27" s="322" customFormat="1">
      <c r="A931" s="312"/>
      <c r="B931" s="76"/>
      <c r="C931" s="76"/>
      <c r="D931" s="330"/>
      <c r="E931" s="331"/>
      <c r="F931" s="331"/>
      <c r="G931" s="331"/>
      <c r="H931" s="331"/>
      <c r="I931" s="331"/>
      <c r="J931" s="331"/>
      <c r="K931" s="331"/>
      <c r="L931" s="331"/>
      <c r="M931" s="331"/>
      <c r="N931" s="303"/>
      <c r="O931" s="304"/>
      <c r="P931" s="312"/>
      <c r="Q931" s="312"/>
      <c r="R931" s="76"/>
      <c r="S931" s="307"/>
      <c r="T931" s="301"/>
      <c r="U931" s="301"/>
      <c r="W931" s="267"/>
      <c r="X931" s="240"/>
      <c r="Y931" s="268"/>
      <c r="Z931" s="240"/>
      <c r="AA931" s="241"/>
    </row>
    <row r="932" spans="1:27" s="322" customFormat="1">
      <c r="A932" s="312"/>
      <c r="B932" s="76"/>
      <c r="C932" s="76"/>
      <c r="D932" s="330"/>
      <c r="E932" s="331"/>
      <c r="F932" s="331"/>
      <c r="G932" s="331"/>
      <c r="H932" s="331"/>
      <c r="I932" s="331"/>
      <c r="J932" s="331"/>
      <c r="K932" s="331"/>
      <c r="L932" s="331"/>
      <c r="M932" s="331"/>
      <c r="N932" s="303"/>
      <c r="O932" s="304"/>
      <c r="P932" s="312"/>
      <c r="Q932" s="312"/>
      <c r="R932" s="76"/>
      <c r="S932" s="307"/>
      <c r="T932" s="301"/>
      <c r="U932" s="301"/>
      <c r="W932" s="267"/>
      <c r="X932" s="240"/>
      <c r="Y932" s="268"/>
      <c r="Z932" s="240"/>
      <c r="AA932" s="241"/>
    </row>
    <row r="933" spans="1:27" s="322" customFormat="1">
      <c r="A933" s="312"/>
      <c r="B933" s="76"/>
      <c r="C933" s="76"/>
      <c r="D933" s="330"/>
      <c r="E933" s="331"/>
      <c r="F933" s="331"/>
      <c r="G933" s="331"/>
      <c r="H933" s="331"/>
      <c r="I933" s="331"/>
      <c r="J933" s="331"/>
      <c r="K933" s="331"/>
      <c r="L933" s="331"/>
      <c r="M933" s="331"/>
      <c r="N933" s="303"/>
      <c r="O933" s="304"/>
      <c r="P933" s="312"/>
      <c r="Q933" s="314"/>
      <c r="R933" s="315"/>
      <c r="S933" s="307"/>
      <c r="T933" s="301"/>
      <c r="U933" s="301"/>
      <c r="W933" s="267"/>
      <c r="X933" s="240"/>
      <c r="Y933" s="268"/>
      <c r="Z933" s="240"/>
      <c r="AA933" s="241"/>
    </row>
    <row r="934" spans="1:27" s="322" customFormat="1">
      <c r="A934" s="312"/>
      <c r="B934" s="76"/>
      <c r="C934" s="76"/>
      <c r="D934" s="330"/>
      <c r="E934" s="331"/>
      <c r="F934" s="331"/>
      <c r="G934" s="331"/>
      <c r="H934" s="331"/>
      <c r="I934" s="331"/>
      <c r="J934" s="331"/>
      <c r="K934" s="331"/>
      <c r="L934" s="331"/>
      <c r="M934" s="331"/>
      <c r="N934" s="303"/>
      <c r="O934" s="304"/>
      <c r="P934" s="312"/>
      <c r="Q934" s="314"/>
      <c r="R934" s="315"/>
      <c r="S934" s="307"/>
      <c r="T934" s="301"/>
      <c r="U934" s="301"/>
      <c r="W934" s="267"/>
      <c r="X934" s="240"/>
      <c r="Y934" s="268"/>
      <c r="Z934" s="240"/>
      <c r="AA934" s="241"/>
    </row>
    <row r="935" spans="1:27" s="322" customFormat="1">
      <c r="A935" s="312"/>
      <c r="B935" s="76"/>
      <c r="C935" s="76"/>
      <c r="D935" s="330"/>
      <c r="E935" s="331"/>
      <c r="F935" s="331"/>
      <c r="G935" s="331"/>
      <c r="H935" s="331"/>
      <c r="I935" s="331"/>
      <c r="J935" s="331"/>
      <c r="K935" s="331"/>
      <c r="L935" s="331"/>
      <c r="M935" s="331"/>
      <c r="N935" s="303"/>
      <c r="O935" s="304"/>
      <c r="P935" s="312"/>
      <c r="Q935" s="314"/>
      <c r="R935" s="315"/>
      <c r="S935" s="307"/>
      <c r="T935" s="301"/>
      <c r="U935" s="301"/>
      <c r="W935" s="267"/>
      <c r="X935" s="240"/>
      <c r="Y935" s="268"/>
      <c r="Z935" s="240"/>
      <c r="AA935" s="241"/>
    </row>
    <row r="936" spans="1:27" s="322" customFormat="1">
      <c r="A936" s="312"/>
      <c r="B936" s="76"/>
      <c r="C936" s="76"/>
      <c r="D936" s="330"/>
      <c r="E936" s="331"/>
      <c r="F936" s="331"/>
      <c r="G936" s="331"/>
      <c r="H936" s="331"/>
      <c r="I936" s="331"/>
      <c r="J936" s="331"/>
      <c r="K936" s="331"/>
      <c r="L936" s="331"/>
      <c r="M936" s="331"/>
      <c r="N936" s="303"/>
      <c r="O936" s="304"/>
      <c r="P936" s="312"/>
      <c r="Q936" s="314"/>
      <c r="R936" s="315"/>
      <c r="S936" s="307"/>
      <c r="T936" s="301"/>
      <c r="U936" s="301"/>
      <c r="W936" s="267"/>
      <c r="X936" s="240"/>
      <c r="Y936" s="268"/>
      <c r="Z936" s="240"/>
      <c r="AA936" s="241"/>
    </row>
    <row r="937" spans="1:27" s="322" customFormat="1">
      <c r="A937" s="312"/>
      <c r="B937" s="76"/>
      <c r="C937" s="76"/>
      <c r="D937" s="330"/>
      <c r="E937" s="331"/>
      <c r="F937" s="331"/>
      <c r="G937" s="331"/>
      <c r="H937" s="331"/>
      <c r="I937" s="331"/>
      <c r="J937" s="331"/>
      <c r="K937" s="331"/>
      <c r="L937" s="331"/>
      <c r="M937" s="331"/>
      <c r="N937" s="303"/>
      <c r="O937" s="304"/>
      <c r="P937" s="312"/>
      <c r="Q937" s="314"/>
      <c r="R937" s="315"/>
      <c r="S937" s="307"/>
      <c r="T937" s="301"/>
      <c r="U937" s="301"/>
      <c r="W937" s="267"/>
      <c r="X937" s="240"/>
      <c r="Y937" s="268"/>
      <c r="Z937" s="240"/>
      <c r="AA937" s="241"/>
    </row>
    <row r="938" spans="1:27" s="322" customFormat="1">
      <c r="A938" s="312"/>
      <c r="B938" s="76"/>
      <c r="C938" s="76"/>
      <c r="D938" s="330"/>
      <c r="E938" s="331"/>
      <c r="F938" s="331"/>
      <c r="G938" s="331"/>
      <c r="H938" s="331"/>
      <c r="I938" s="331"/>
      <c r="J938" s="331"/>
      <c r="K938" s="331"/>
      <c r="L938" s="331"/>
      <c r="M938" s="331"/>
      <c r="N938" s="303"/>
      <c r="O938" s="304"/>
      <c r="P938" s="312"/>
      <c r="Q938" s="314"/>
      <c r="R938" s="315"/>
      <c r="S938" s="307"/>
      <c r="T938" s="301"/>
      <c r="U938" s="301"/>
      <c r="W938" s="267"/>
      <c r="X938" s="240"/>
      <c r="Y938" s="268"/>
      <c r="Z938" s="240"/>
      <c r="AA938" s="241"/>
    </row>
    <row r="939" spans="1:27" s="322" customFormat="1">
      <c r="A939" s="312"/>
      <c r="B939" s="76"/>
      <c r="C939" s="76"/>
      <c r="D939" s="330"/>
      <c r="E939" s="331"/>
      <c r="F939" s="331"/>
      <c r="G939" s="331"/>
      <c r="H939" s="331"/>
      <c r="I939" s="331"/>
      <c r="J939" s="331"/>
      <c r="K939" s="331"/>
      <c r="L939" s="331"/>
      <c r="M939" s="331"/>
      <c r="N939" s="303"/>
      <c r="O939" s="304"/>
      <c r="P939" s="312"/>
      <c r="Q939" s="314"/>
      <c r="R939" s="315"/>
      <c r="S939" s="307"/>
      <c r="T939" s="301"/>
      <c r="U939" s="301"/>
      <c r="W939" s="267"/>
      <c r="X939" s="240"/>
      <c r="Y939" s="268"/>
      <c r="Z939" s="240"/>
      <c r="AA939" s="241"/>
    </row>
    <row r="940" spans="1:27" s="322" customFormat="1">
      <c r="A940" s="312"/>
      <c r="B940" s="76"/>
      <c r="C940" s="76"/>
      <c r="D940" s="330"/>
      <c r="E940" s="331"/>
      <c r="F940" s="331"/>
      <c r="G940" s="331"/>
      <c r="H940" s="331"/>
      <c r="I940" s="331"/>
      <c r="J940" s="331"/>
      <c r="K940" s="331"/>
      <c r="L940" s="331"/>
      <c r="M940" s="331"/>
      <c r="N940" s="303"/>
      <c r="O940" s="304"/>
      <c r="P940" s="312"/>
      <c r="Q940" s="314"/>
      <c r="R940" s="315"/>
      <c r="S940" s="307"/>
      <c r="T940" s="301"/>
      <c r="U940" s="301"/>
      <c r="W940" s="267"/>
      <c r="X940" s="240"/>
      <c r="Y940" s="268"/>
      <c r="Z940" s="240"/>
      <c r="AA940" s="241"/>
    </row>
    <row r="941" spans="1:27" s="322" customFormat="1">
      <c r="A941" s="312"/>
      <c r="B941" s="76"/>
      <c r="C941" s="76"/>
      <c r="D941" s="330"/>
      <c r="E941" s="331"/>
      <c r="F941" s="331"/>
      <c r="G941" s="331"/>
      <c r="H941" s="331"/>
      <c r="I941" s="331"/>
      <c r="J941" s="331"/>
      <c r="K941" s="331"/>
      <c r="L941" s="331"/>
      <c r="M941" s="331"/>
      <c r="N941" s="303"/>
      <c r="O941" s="304"/>
      <c r="P941" s="312"/>
      <c r="Q941" s="314"/>
      <c r="R941" s="315"/>
      <c r="S941" s="307"/>
      <c r="T941" s="301"/>
      <c r="U941" s="301"/>
      <c r="W941" s="267"/>
      <c r="X941" s="240"/>
      <c r="Y941" s="268"/>
      <c r="Z941" s="240"/>
      <c r="AA941" s="241"/>
    </row>
    <row r="942" spans="1:27" s="322" customFormat="1">
      <c r="A942" s="312"/>
      <c r="B942" s="76"/>
      <c r="C942" s="76"/>
      <c r="D942" s="330"/>
      <c r="E942" s="331"/>
      <c r="F942" s="331"/>
      <c r="G942" s="331"/>
      <c r="H942" s="331"/>
      <c r="I942" s="331"/>
      <c r="J942" s="331"/>
      <c r="K942" s="331"/>
      <c r="L942" s="331"/>
      <c r="M942" s="331"/>
      <c r="N942" s="303"/>
      <c r="O942" s="304"/>
      <c r="P942" s="312"/>
      <c r="Q942" s="314"/>
      <c r="R942" s="315"/>
      <c r="S942" s="307"/>
      <c r="T942" s="301"/>
      <c r="U942" s="301"/>
      <c r="W942" s="267"/>
      <c r="X942" s="240"/>
      <c r="Y942" s="268"/>
      <c r="Z942" s="240"/>
      <c r="AA942" s="241"/>
    </row>
    <row r="943" spans="1:27" s="322" customFormat="1">
      <c r="A943" s="312"/>
      <c r="B943" s="76"/>
      <c r="C943" s="76"/>
      <c r="D943" s="330"/>
      <c r="E943" s="331"/>
      <c r="F943" s="331"/>
      <c r="G943" s="331"/>
      <c r="H943" s="331"/>
      <c r="I943" s="331"/>
      <c r="J943" s="331"/>
      <c r="K943" s="331"/>
      <c r="L943" s="331"/>
      <c r="M943" s="331"/>
      <c r="N943" s="303"/>
      <c r="O943" s="304"/>
      <c r="P943" s="312"/>
      <c r="Q943" s="314"/>
      <c r="R943" s="315"/>
      <c r="S943" s="307"/>
      <c r="T943" s="301"/>
      <c r="U943" s="301"/>
      <c r="W943" s="267"/>
      <c r="X943" s="240"/>
      <c r="Y943" s="268"/>
      <c r="Z943" s="240"/>
      <c r="AA943" s="241"/>
    </row>
    <row r="944" spans="1:27" s="322" customFormat="1">
      <c r="A944" s="312"/>
      <c r="B944" s="76"/>
      <c r="C944" s="76"/>
      <c r="D944" s="330"/>
      <c r="E944" s="331"/>
      <c r="F944" s="331"/>
      <c r="G944" s="331"/>
      <c r="H944" s="331"/>
      <c r="I944" s="331"/>
      <c r="J944" s="331"/>
      <c r="K944" s="331"/>
      <c r="L944" s="331"/>
      <c r="M944" s="331"/>
      <c r="N944" s="303"/>
      <c r="O944" s="304"/>
      <c r="P944" s="312"/>
      <c r="Q944" s="314"/>
      <c r="R944" s="315"/>
      <c r="S944" s="307"/>
      <c r="T944" s="301"/>
      <c r="U944" s="301"/>
      <c r="W944" s="267"/>
      <c r="X944" s="240"/>
      <c r="Y944" s="268"/>
      <c r="Z944" s="240"/>
      <c r="AA944" s="241"/>
    </row>
    <row r="945" spans="1:27" s="322" customFormat="1">
      <c r="A945" s="312"/>
      <c r="B945" s="76"/>
      <c r="C945" s="76"/>
      <c r="D945" s="330"/>
      <c r="E945" s="331"/>
      <c r="F945" s="331"/>
      <c r="G945" s="331"/>
      <c r="H945" s="331"/>
      <c r="I945" s="331"/>
      <c r="J945" s="331"/>
      <c r="K945" s="331"/>
      <c r="L945" s="331"/>
      <c r="M945" s="331"/>
      <c r="N945" s="303"/>
      <c r="O945" s="304"/>
      <c r="P945" s="312"/>
      <c r="Q945" s="314"/>
      <c r="R945" s="315"/>
      <c r="S945" s="307"/>
      <c r="T945" s="301"/>
      <c r="U945" s="301"/>
      <c r="W945" s="267"/>
      <c r="X945" s="240"/>
      <c r="Y945" s="268"/>
      <c r="Z945" s="240"/>
      <c r="AA945" s="241"/>
    </row>
    <row r="946" spans="1:27" s="322" customFormat="1">
      <c r="A946" s="312"/>
      <c r="B946" s="76"/>
      <c r="C946" s="76"/>
      <c r="D946" s="330"/>
      <c r="E946" s="331"/>
      <c r="F946" s="331"/>
      <c r="G946" s="331"/>
      <c r="H946" s="331"/>
      <c r="I946" s="331"/>
      <c r="J946" s="331"/>
      <c r="K946" s="331"/>
      <c r="L946" s="331"/>
      <c r="M946" s="331"/>
      <c r="N946" s="303"/>
      <c r="O946" s="304"/>
      <c r="P946" s="312"/>
      <c r="Q946" s="314"/>
      <c r="R946" s="315"/>
      <c r="S946" s="307"/>
      <c r="T946" s="301"/>
      <c r="U946" s="301"/>
      <c r="W946" s="267"/>
      <c r="X946" s="240"/>
      <c r="Y946" s="268"/>
      <c r="Z946" s="240"/>
      <c r="AA946" s="241"/>
    </row>
    <row r="947" spans="1:27" s="322" customFormat="1">
      <c r="A947" s="312"/>
      <c r="B947" s="76"/>
      <c r="C947" s="76"/>
      <c r="D947" s="330"/>
      <c r="E947" s="331"/>
      <c r="F947" s="331"/>
      <c r="G947" s="331"/>
      <c r="H947" s="331"/>
      <c r="I947" s="331"/>
      <c r="J947" s="331"/>
      <c r="K947" s="331"/>
      <c r="L947" s="331"/>
      <c r="M947" s="331"/>
      <c r="N947" s="303"/>
      <c r="O947" s="304"/>
      <c r="P947" s="312"/>
      <c r="Q947" s="314"/>
      <c r="R947" s="315"/>
      <c r="S947" s="307"/>
      <c r="T947" s="301"/>
      <c r="U947" s="301"/>
      <c r="W947" s="267"/>
      <c r="X947" s="240"/>
      <c r="Y947" s="268"/>
      <c r="Z947" s="240"/>
      <c r="AA947" s="241"/>
    </row>
    <row r="948" spans="1:27" s="322" customFormat="1">
      <c r="A948" s="312"/>
      <c r="B948" s="76"/>
      <c r="C948" s="76"/>
      <c r="D948" s="330"/>
      <c r="E948" s="331"/>
      <c r="F948" s="331"/>
      <c r="G948" s="331"/>
      <c r="H948" s="331"/>
      <c r="I948" s="331"/>
      <c r="J948" s="331"/>
      <c r="K948" s="331"/>
      <c r="L948" s="331"/>
      <c r="M948" s="331"/>
      <c r="N948" s="303"/>
      <c r="O948" s="304"/>
      <c r="P948" s="312"/>
      <c r="Q948" s="314"/>
      <c r="R948" s="315"/>
      <c r="S948" s="307"/>
      <c r="T948" s="301"/>
      <c r="U948" s="301"/>
      <c r="W948" s="267"/>
      <c r="X948" s="240"/>
      <c r="Y948" s="268"/>
      <c r="Z948" s="240"/>
      <c r="AA948" s="241"/>
    </row>
    <row r="949" spans="1:27" s="322" customFormat="1">
      <c r="A949" s="312"/>
      <c r="B949" s="76"/>
      <c r="C949" s="76"/>
      <c r="D949" s="330"/>
      <c r="E949" s="331"/>
      <c r="F949" s="331"/>
      <c r="G949" s="331"/>
      <c r="H949" s="331"/>
      <c r="I949" s="331"/>
      <c r="J949" s="331"/>
      <c r="K949" s="331"/>
      <c r="L949" s="331"/>
      <c r="M949" s="331"/>
      <c r="N949" s="303"/>
      <c r="O949" s="304"/>
      <c r="P949" s="312"/>
      <c r="Q949" s="314"/>
      <c r="R949" s="315"/>
      <c r="S949" s="307"/>
      <c r="T949" s="301"/>
      <c r="U949" s="301"/>
      <c r="W949" s="267"/>
      <c r="X949" s="240"/>
      <c r="Y949" s="268"/>
      <c r="Z949" s="240"/>
      <c r="AA949" s="241"/>
    </row>
    <row r="950" spans="1:27" s="322" customFormat="1">
      <c r="A950" s="312"/>
      <c r="B950" s="76"/>
      <c r="C950" s="76"/>
      <c r="D950" s="330"/>
      <c r="E950" s="331"/>
      <c r="F950" s="331"/>
      <c r="G950" s="331"/>
      <c r="H950" s="331"/>
      <c r="I950" s="331"/>
      <c r="J950" s="331"/>
      <c r="K950" s="331"/>
      <c r="L950" s="331"/>
      <c r="M950" s="331"/>
      <c r="N950" s="303"/>
      <c r="O950" s="304"/>
      <c r="P950" s="312"/>
      <c r="Q950" s="314"/>
      <c r="R950" s="315"/>
      <c r="S950" s="307"/>
      <c r="T950" s="301"/>
      <c r="U950" s="301"/>
      <c r="W950" s="267"/>
      <c r="X950" s="240"/>
      <c r="Y950" s="268"/>
      <c r="Z950" s="240"/>
      <c r="AA950" s="241"/>
    </row>
    <row r="951" spans="1:27" s="322" customFormat="1">
      <c r="A951" s="312"/>
      <c r="B951" s="76"/>
      <c r="C951" s="76"/>
      <c r="D951" s="330"/>
      <c r="E951" s="331"/>
      <c r="F951" s="331"/>
      <c r="G951" s="331"/>
      <c r="H951" s="331"/>
      <c r="I951" s="331"/>
      <c r="J951" s="331"/>
      <c r="K951" s="331"/>
      <c r="L951" s="331"/>
      <c r="M951" s="331"/>
      <c r="N951" s="303"/>
      <c r="O951" s="304"/>
      <c r="P951" s="312"/>
      <c r="Q951" s="314"/>
      <c r="R951" s="315"/>
      <c r="S951" s="307"/>
      <c r="T951" s="301"/>
      <c r="U951" s="301"/>
      <c r="W951" s="267"/>
      <c r="X951" s="240"/>
      <c r="Y951" s="268"/>
      <c r="Z951" s="240"/>
      <c r="AA951" s="241"/>
    </row>
    <row r="952" spans="1:27" s="322" customFormat="1">
      <c r="A952" s="312"/>
      <c r="B952" s="76"/>
      <c r="C952" s="76"/>
      <c r="D952" s="330"/>
      <c r="E952" s="331"/>
      <c r="F952" s="331"/>
      <c r="G952" s="331"/>
      <c r="H952" s="331"/>
      <c r="I952" s="331"/>
      <c r="J952" s="331"/>
      <c r="K952" s="331"/>
      <c r="L952" s="331"/>
      <c r="M952" s="331"/>
      <c r="N952" s="303"/>
      <c r="O952" s="304"/>
      <c r="P952" s="312"/>
      <c r="Q952" s="314"/>
      <c r="R952" s="315"/>
      <c r="S952" s="307"/>
      <c r="T952" s="301"/>
      <c r="U952" s="301"/>
      <c r="W952" s="267"/>
      <c r="X952" s="240"/>
      <c r="Y952" s="268"/>
      <c r="Z952" s="240"/>
      <c r="AA952" s="241"/>
    </row>
    <row r="953" spans="1:27" s="322" customFormat="1">
      <c r="A953" s="312"/>
      <c r="B953" s="76"/>
      <c r="C953" s="76"/>
      <c r="D953" s="330"/>
      <c r="E953" s="331"/>
      <c r="F953" s="331"/>
      <c r="G953" s="331"/>
      <c r="H953" s="331"/>
      <c r="I953" s="331"/>
      <c r="J953" s="331"/>
      <c r="K953" s="331"/>
      <c r="L953" s="331"/>
      <c r="M953" s="331"/>
      <c r="N953" s="303"/>
      <c r="O953" s="304"/>
      <c r="P953" s="312"/>
      <c r="Q953" s="314"/>
      <c r="R953" s="315"/>
      <c r="S953" s="307"/>
      <c r="T953" s="301"/>
      <c r="U953" s="301"/>
      <c r="W953" s="267"/>
      <c r="X953" s="240"/>
      <c r="Y953" s="268"/>
      <c r="Z953" s="240"/>
      <c r="AA953" s="241"/>
    </row>
    <row r="954" spans="1:27" s="322" customFormat="1">
      <c r="A954" s="312"/>
      <c r="B954" s="76"/>
      <c r="C954" s="76"/>
      <c r="D954" s="330"/>
      <c r="E954" s="331"/>
      <c r="F954" s="331"/>
      <c r="G954" s="331"/>
      <c r="H954" s="331"/>
      <c r="I954" s="331"/>
      <c r="J954" s="331"/>
      <c r="K954" s="331"/>
      <c r="L954" s="331"/>
      <c r="M954" s="331"/>
      <c r="N954" s="303"/>
      <c r="O954" s="304"/>
      <c r="P954" s="312"/>
      <c r="Q954" s="314"/>
      <c r="R954" s="315"/>
      <c r="S954" s="307"/>
      <c r="T954" s="301"/>
      <c r="U954" s="301"/>
      <c r="W954" s="267"/>
      <c r="X954" s="240"/>
      <c r="Y954" s="268"/>
      <c r="Z954" s="240"/>
      <c r="AA954" s="241"/>
    </row>
    <row r="955" spans="1:27" s="322" customFormat="1">
      <c r="A955" s="312"/>
      <c r="B955" s="76"/>
      <c r="C955" s="76"/>
      <c r="D955" s="330"/>
      <c r="E955" s="331"/>
      <c r="F955" s="331"/>
      <c r="G955" s="331"/>
      <c r="H955" s="331"/>
      <c r="I955" s="331"/>
      <c r="J955" s="331"/>
      <c r="K955" s="331"/>
      <c r="L955" s="331"/>
      <c r="M955" s="331"/>
      <c r="N955" s="303"/>
      <c r="O955" s="304"/>
      <c r="P955" s="312"/>
      <c r="Q955" s="314"/>
      <c r="R955" s="315"/>
      <c r="S955" s="307"/>
      <c r="T955" s="301"/>
      <c r="U955" s="301"/>
      <c r="W955" s="267"/>
      <c r="X955" s="240"/>
      <c r="Y955" s="268"/>
      <c r="Z955" s="240"/>
      <c r="AA955" s="241"/>
    </row>
    <row r="956" spans="1:27" s="322" customFormat="1">
      <c r="A956" s="312"/>
      <c r="B956" s="76"/>
      <c r="C956" s="76"/>
      <c r="D956" s="330"/>
      <c r="E956" s="331"/>
      <c r="F956" s="331"/>
      <c r="G956" s="331"/>
      <c r="H956" s="331"/>
      <c r="I956" s="331"/>
      <c r="J956" s="331"/>
      <c r="K956" s="331"/>
      <c r="L956" s="331"/>
      <c r="M956" s="331"/>
      <c r="N956" s="303"/>
      <c r="O956" s="304"/>
      <c r="P956" s="312"/>
      <c r="Q956" s="314"/>
      <c r="R956" s="315"/>
      <c r="S956" s="307"/>
      <c r="T956" s="301"/>
      <c r="U956" s="301"/>
      <c r="W956" s="267"/>
      <c r="X956" s="240"/>
      <c r="Y956" s="268"/>
      <c r="Z956" s="240"/>
      <c r="AA956" s="241"/>
    </row>
    <row r="957" spans="1:27" s="322" customFormat="1">
      <c r="A957" s="312"/>
      <c r="B957" s="76"/>
      <c r="C957" s="76"/>
      <c r="D957" s="330"/>
      <c r="E957" s="331"/>
      <c r="F957" s="331"/>
      <c r="G957" s="331"/>
      <c r="H957" s="331"/>
      <c r="I957" s="331"/>
      <c r="J957" s="331"/>
      <c r="K957" s="331"/>
      <c r="L957" s="331"/>
      <c r="M957" s="331"/>
      <c r="N957" s="303"/>
      <c r="O957" s="304"/>
      <c r="P957" s="312"/>
      <c r="Q957" s="314"/>
      <c r="R957" s="315"/>
      <c r="S957" s="307"/>
      <c r="T957" s="301"/>
      <c r="U957" s="301"/>
      <c r="W957" s="267"/>
      <c r="X957" s="240"/>
      <c r="Y957" s="268"/>
      <c r="Z957" s="240"/>
      <c r="AA957" s="241"/>
    </row>
    <row r="958" spans="1:27" s="322" customFormat="1">
      <c r="A958" s="312"/>
      <c r="B958" s="76"/>
      <c r="C958" s="76"/>
      <c r="D958" s="330"/>
      <c r="E958" s="331"/>
      <c r="F958" s="331"/>
      <c r="G958" s="331"/>
      <c r="H958" s="331"/>
      <c r="I958" s="331"/>
      <c r="J958" s="331"/>
      <c r="K958" s="331"/>
      <c r="L958" s="331"/>
      <c r="M958" s="331"/>
      <c r="N958" s="303"/>
      <c r="O958" s="304"/>
      <c r="P958" s="312"/>
      <c r="Q958" s="314"/>
      <c r="R958" s="315"/>
      <c r="S958" s="307"/>
      <c r="T958" s="301"/>
      <c r="U958" s="301"/>
      <c r="W958" s="267"/>
      <c r="X958" s="240"/>
      <c r="Y958" s="268"/>
      <c r="Z958" s="240"/>
      <c r="AA958" s="241"/>
    </row>
    <row r="959" spans="1:27" s="322" customFormat="1">
      <c r="A959" s="312"/>
      <c r="B959" s="76"/>
      <c r="C959" s="76"/>
      <c r="D959" s="330"/>
      <c r="E959" s="331"/>
      <c r="F959" s="331"/>
      <c r="G959" s="331"/>
      <c r="H959" s="331"/>
      <c r="I959" s="331"/>
      <c r="J959" s="331"/>
      <c r="K959" s="331"/>
      <c r="L959" s="331"/>
      <c r="M959" s="331"/>
      <c r="N959" s="303"/>
      <c r="O959" s="304"/>
      <c r="P959" s="312"/>
      <c r="Q959" s="314"/>
      <c r="R959" s="315"/>
      <c r="S959" s="307"/>
      <c r="T959" s="301"/>
      <c r="U959" s="301"/>
      <c r="W959" s="267"/>
      <c r="X959" s="240"/>
      <c r="Y959" s="268"/>
      <c r="Z959" s="240"/>
      <c r="AA959" s="241"/>
    </row>
    <row r="960" spans="1:27" s="322" customFormat="1">
      <c r="A960" s="312"/>
      <c r="B960" s="76"/>
      <c r="C960" s="76"/>
      <c r="D960" s="330"/>
      <c r="E960" s="331"/>
      <c r="F960" s="331"/>
      <c r="G960" s="331"/>
      <c r="H960" s="331"/>
      <c r="I960" s="331"/>
      <c r="J960" s="331"/>
      <c r="K960" s="331"/>
      <c r="L960" s="331"/>
      <c r="M960" s="331"/>
      <c r="N960" s="303"/>
      <c r="O960" s="304"/>
      <c r="P960" s="312"/>
      <c r="Q960" s="312"/>
      <c r="R960" s="76"/>
      <c r="S960" s="307"/>
      <c r="T960" s="301"/>
      <c r="U960" s="301"/>
      <c r="W960" s="267"/>
      <c r="X960" s="240"/>
      <c r="Y960" s="268"/>
      <c r="Z960" s="240"/>
      <c r="AA960" s="241"/>
    </row>
    <row r="961" spans="1:27" s="322" customFormat="1">
      <c r="A961" s="312"/>
      <c r="B961" s="76"/>
      <c r="C961" s="76"/>
      <c r="D961" s="330"/>
      <c r="E961" s="331"/>
      <c r="F961" s="331"/>
      <c r="G961" s="331"/>
      <c r="H961" s="331"/>
      <c r="I961" s="331"/>
      <c r="J961" s="331"/>
      <c r="K961" s="331"/>
      <c r="L961" s="331"/>
      <c r="M961" s="331"/>
      <c r="N961" s="303"/>
      <c r="O961" s="304"/>
      <c r="P961" s="312"/>
      <c r="Q961" s="312"/>
      <c r="R961" s="76"/>
      <c r="S961" s="307"/>
      <c r="T961" s="301"/>
      <c r="U961" s="301"/>
      <c r="W961" s="267"/>
      <c r="X961" s="240"/>
      <c r="Y961" s="268"/>
      <c r="Z961" s="240"/>
      <c r="AA961" s="241"/>
    </row>
    <row r="962" spans="1:27" s="322" customFormat="1">
      <c r="A962" s="312"/>
      <c r="B962" s="76"/>
      <c r="C962" s="76"/>
      <c r="D962" s="330"/>
      <c r="E962" s="331"/>
      <c r="F962" s="331"/>
      <c r="G962" s="331"/>
      <c r="H962" s="331"/>
      <c r="I962" s="331"/>
      <c r="J962" s="331"/>
      <c r="K962" s="331"/>
      <c r="L962" s="331"/>
      <c r="M962" s="331"/>
      <c r="N962" s="303"/>
      <c r="O962" s="304"/>
      <c r="P962" s="312"/>
      <c r="Q962" s="312"/>
      <c r="R962" s="76"/>
      <c r="S962" s="307"/>
      <c r="T962" s="301"/>
      <c r="U962" s="301"/>
      <c r="W962" s="267"/>
      <c r="X962" s="240"/>
      <c r="Y962" s="268"/>
      <c r="Z962" s="240"/>
      <c r="AA962" s="241"/>
    </row>
    <row r="963" spans="1:27" s="322" customFormat="1">
      <c r="A963" s="312"/>
      <c r="B963" s="76"/>
      <c r="C963" s="76"/>
      <c r="D963" s="330"/>
      <c r="E963" s="331"/>
      <c r="F963" s="331"/>
      <c r="G963" s="331"/>
      <c r="H963" s="331"/>
      <c r="I963" s="331"/>
      <c r="J963" s="331"/>
      <c r="K963" s="331"/>
      <c r="L963" s="331"/>
      <c r="M963" s="331"/>
      <c r="N963" s="303"/>
      <c r="O963" s="304"/>
      <c r="P963" s="312"/>
      <c r="Q963" s="312"/>
      <c r="R963" s="76"/>
      <c r="S963" s="307"/>
      <c r="T963" s="301"/>
      <c r="U963" s="301"/>
      <c r="W963" s="267"/>
      <c r="X963" s="240"/>
      <c r="Y963" s="268"/>
      <c r="Z963" s="240"/>
      <c r="AA963" s="241"/>
    </row>
    <row r="964" spans="1:27" s="322" customFormat="1">
      <c r="A964" s="312"/>
      <c r="B964" s="76"/>
      <c r="C964" s="76"/>
      <c r="D964" s="330"/>
      <c r="E964" s="331"/>
      <c r="F964" s="331"/>
      <c r="G964" s="331"/>
      <c r="H964" s="331"/>
      <c r="I964" s="331"/>
      <c r="J964" s="331"/>
      <c r="K964" s="331"/>
      <c r="L964" s="331"/>
      <c r="M964" s="331"/>
      <c r="N964" s="303"/>
      <c r="O964" s="304"/>
      <c r="P964" s="312"/>
      <c r="Q964" s="312"/>
      <c r="R964" s="76"/>
      <c r="S964" s="307"/>
      <c r="T964" s="301"/>
      <c r="U964" s="301"/>
      <c r="W964" s="267"/>
      <c r="X964" s="240"/>
      <c r="Y964" s="268"/>
      <c r="Z964" s="240"/>
      <c r="AA964" s="241"/>
    </row>
    <row r="965" spans="1:27" s="322" customFormat="1">
      <c r="A965" s="312"/>
      <c r="B965" s="76"/>
      <c r="C965" s="76"/>
      <c r="D965" s="330"/>
      <c r="E965" s="331"/>
      <c r="F965" s="331"/>
      <c r="G965" s="331"/>
      <c r="H965" s="331"/>
      <c r="I965" s="331"/>
      <c r="J965" s="331"/>
      <c r="K965" s="331"/>
      <c r="L965" s="331"/>
      <c r="M965" s="331"/>
      <c r="N965" s="303"/>
      <c r="O965" s="304"/>
      <c r="P965" s="312"/>
      <c r="Q965" s="312"/>
      <c r="R965" s="76"/>
      <c r="S965" s="307"/>
      <c r="T965" s="301"/>
      <c r="U965" s="301"/>
      <c r="W965" s="267"/>
      <c r="X965" s="240"/>
      <c r="Y965" s="268"/>
      <c r="Z965" s="240"/>
      <c r="AA965" s="241"/>
    </row>
    <row r="966" spans="1:27" s="322" customFormat="1">
      <c r="A966" s="312"/>
      <c r="B966" s="76"/>
      <c r="C966" s="76"/>
      <c r="D966" s="330"/>
      <c r="E966" s="331"/>
      <c r="F966" s="331"/>
      <c r="G966" s="331"/>
      <c r="H966" s="331"/>
      <c r="I966" s="331"/>
      <c r="J966" s="331"/>
      <c r="K966" s="331"/>
      <c r="L966" s="331"/>
      <c r="M966" s="331"/>
      <c r="N966" s="303"/>
      <c r="O966" s="304"/>
      <c r="P966" s="312"/>
      <c r="Q966" s="312"/>
      <c r="R966" s="76"/>
      <c r="S966" s="307"/>
      <c r="T966" s="301"/>
      <c r="U966" s="301"/>
      <c r="W966" s="267"/>
      <c r="X966" s="240"/>
      <c r="Y966" s="268"/>
      <c r="Z966" s="240"/>
      <c r="AA966" s="241"/>
    </row>
    <row r="967" spans="1:27" s="322" customFormat="1">
      <c r="A967" s="312"/>
      <c r="B967" s="76"/>
      <c r="C967" s="76"/>
      <c r="D967" s="330"/>
      <c r="E967" s="331"/>
      <c r="F967" s="331"/>
      <c r="G967" s="331"/>
      <c r="H967" s="331"/>
      <c r="I967" s="331"/>
      <c r="J967" s="331"/>
      <c r="K967" s="331"/>
      <c r="L967" s="331"/>
      <c r="M967" s="331"/>
      <c r="N967" s="303"/>
      <c r="O967" s="304"/>
      <c r="P967" s="312"/>
      <c r="Q967" s="312"/>
      <c r="R967" s="76"/>
      <c r="S967" s="307"/>
      <c r="T967" s="301"/>
      <c r="U967" s="301"/>
      <c r="W967" s="267"/>
      <c r="X967" s="240"/>
      <c r="Y967" s="268"/>
      <c r="Z967" s="240"/>
      <c r="AA967" s="241"/>
    </row>
    <row r="968" spans="1:27" s="322" customFormat="1">
      <c r="A968" s="312"/>
      <c r="B968" s="76"/>
      <c r="C968" s="76"/>
      <c r="D968" s="330"/>
      <c r="E968" s="331"/>
      <c r="F968" s="331"/>
      <c r="G968" s="331"/>
      <c r="H968" s="331"/>
      <c r="I968" s="331"/>
      <c r="J968" s="331"/>
      <c r="K968" s="331"/>
      <c r="L968" s="331"/>
      <c r="M968" s="331"/>
      <c r="N968" s="303"/>
      <c r="O968" s="304"/>
      <c r="P968" s="312"/>
      <c r="Q968" s="312"/>
      <c r="R968" s="76"/>
      <c r="S968" s="307"/>
      <c r="T968" s="301"/>
      <c r="U968" s="301"/>
      <c r="W968" s="267"/>
      <c r="X968" s="240"/>
      <c r="Y968" s="268"/>
      <c r="Z968" s="240"/>
      <c r="AA968" s="241"/>
    </row>
    <row r="969" spans="1:27" s="322" customFormat="1">
      <c r="A969" s="312"/>
      <c r="B969" s="76"/>
      <c r="C969" s="76"/>
      <c r="D969" s="330"/>
      <c r="E969" s="331"/>
      <c r="F969" s="331"/>
      <c r="G969" s="331"/>
      <c r="H969" s="331"/>
      <c r="I969" s="331"/>
      <c r="J969" s="331"/>
      <c r="K969" s="331"/>
      <c r="L969" s="331"/>
      <c r="M969" s="331"/>
      <c r="N969" s="303"/>
      <c r="O969" s="304"/>
      <c r="P969" s="312"/>
      <c r="Q969" s="312"/>
      <c r="R969" s="76"/>
      <c r="S969" s="307"/>
      <c r="T969" s="301"/>
      <c r="U969" s="301"/>
      <c r="W969" s="267"/>
      <c r="X969" s="240"/>
      <c r="Y969" s="268"/>
      <c r="Z969" s="240"/>
      <c r="AA969" s="241"/>
    </row>
    <row r="970" spans="1:27" s="322" customFormat="1">
      <c r="A970" s="312"/>
      <c r="B970" s="76"/>
      <c r="C970" s="76"/>
      <c r="D970" s="330"/>
      <c r="E970" s="331"/>
      <c r="F970" s="331"/>
      <c r="G970" s="331"/>
      <c r="H970" s="331"/>
      <c r="I970" s="331"/>
      <c r="J970" s="331"/>
      <c r="K970" s="331"/>
      <c r="L970" s="331"/>
      <c r="M970" s="331"/>
      <c r="N970" s="303"/>
      <c r="O970" s="304"/>
      <c r="P970" s="312"/>
      <c r="Q970" s="312"/>
      <c r="R970" s="76"/>
      <c r="S970" s="307"/>
      <c r="T970" s="301"/>
      <c r="U970" s="301"/>
      <c r="W970" s="267"/>
      <c r="X970" s="240"/>
      <c r="Y970" s="268"/>
      <c r="Z970" s="240"/>
      <c r="AA970" s="241"/>
    </row>
    <row r="971" spans="1:27" s="322" customFormat="1">
      <c r="A971" s="312"/>
      <c r="B971" s="76"/>
      <c r="C971" s="76"/>
      <c r="D971" s="330"/>
      <c r="E971" s="331"/>
      <c r="F971" s="331"/>
      <c r="G971" s="331"/>
      <c r="H971" s="331"/>
      <c r="I971" s="331"/>
      <c r="J971" s="331"/>
      <c r="K971" s="331"/>
      <c r="L971" s="331"/>
      <c r="M971" s="331"/>
      <c r="N971" s="303"/>
      <c r="O971" s="304"/>
      <c r="P971" s="312"/>
      <c r="Q971" s="312"/>
      <c r="R971" s="76"/>
      <c r="S971" s="307"/>
      <c r="T971" s="301"/>
      <c r="U971" s="301"/>
      <c r="W971" s="267"/>
      <c r="X971" s="240"/>
      <c r="Y971" s="268"/>
      <c r="Z971" s="240"/>
      <c r="AA971" s="241"/>
    </row>
    <row r="972" spans="1:27" s="322" customFormat="1">
      <c r="A972" s="312"/>
      <c r="B972" s="76"/>
      <c r="C972" s="76"/>
      <c r="D972" s="330"/>
      <c r="E972" s="331"/>
      <c r="F972" s="331"/>
      <c r="G972" s="331"/>
      <c r="H972" s="331"/>
      <c r="I972" s="331"/>
      <c r="J972" s="331"/>
      <c r="K972" s="331"/>
      <c r="L972" s="331"/>
      <c r="M972" s="331"/>
      <c r="N972" s="303"/>
      <c r="O972" s="304"/>
      <c r="P972" s="312"/>
      <c r="Q972" s="312"/>
      <c r="R972" s="76"/>
      <c r="S972" s="307"/>
      <c r="T972" s="301"/>
      <c r="U972" s="301"/>
      <c r="W972" s="267"/>
      <c r="X972" s="240"/>
      <c r="Y972" s="268"/>
      <c r="Z972" s="240"/>
      <c r="AA972" s="241"/>
    </row>
    <row r="973" spans="1:27" s="322" customFormat="1">
      <c r="A973" s="312"/>
      <c r="B973" s="76"/>
      <c r="C973" s="76"/>
      <c r="D973" s="330"/>
      <c r="E973" s="331"/>
      <c r="F973" s="331"/>
      <c r="G973" s="331"/>
      <c r="H973" s="331"/>
      <c r="I973" s="331"/>
      <c r="J973" s="331"/>
      <c r="K973" s="331"/>
      <c r="L973" s="331"/>
      <c r="M973" s="331"/>
      <c r="N973" s="303"/>
      <c r="O973" s="304"/>
      <c r="P973" s="312"/>
      <c r="Q973" s="312"/>
      <c r="R973" s="76"/>
      <c r="S973" s="307"/>
      <c r="T973" s="301"/>
      <c r="U973" s="301"/>
      <c r="W973" s="267"/>
      <c r="X973" s="240"/>
      <c r="Y973" s="268"/>
      <c r="Z973" s="240"/>
      <c r="AA973" s="241"/>
    </row>
    <row r="974" spans="1:27" s="322" customFormat="1">
      <c r="A974" s="312"/>
      <c r="B974" s="76"/>
      <c r="C974" s="76"/>
      <c r="D974" s="330"/>
      <c r="E974" s="331"/>
      <c r="F974" s="331"/>
      <c r="G974" s="331"/>
      <c r="H974" s="331"/>
      <c r="I974" s="331"/>
      <c r="J974" s="331"/>
      <c r="K974" s="331"/>
      <c r="L974" s="331"/>
      <c r="M974" s="331"/>
      <c r="N974" s="303"/>
      <c r="O974" s="304"/>
      <c r="P974" s="312"/>
      <c r="Q974" s="312"/>
      <c r="R974" s="76"/>
      <c r="S974" s="307"/>
      <c r="T974" s="301"/>
      <c r="U974" s="301"/>
      <c r="W974" s="267"/>
      <c r="X974" s="240"/>
      <c r="Y974" s="268"/>
      <c r="Z974" s="240"/>
      <c r="AA974" s="241"/>
    </row>
    <row r="975" spans="1:27" s="322" customFormat="1">
      <c r="A975" s="312"/>
      <c r="B975" s="76"/>
      <c r="C975" s="76"/>
      <c r="D975" s="330"/>
      <c r="E975" s="331"/>
      <c r="F975" s="331"/>
      <c r="G975" s="331"/>
      <c r="H975" s="331"/>
      <c r="I975" s="331"/>
      <c r="J975" s="331"/>
      <c r="K975" s="331"/>
      <c r="L975" s="331"/>
      <c r="M975" s="331"/>
      <c r="N975" s="303"/>
      <c r="O975" s="304"/>
      <c r="P975" s="312"/>
      <c r="Q975" s="314"/>
      <c r="R975" s="315"/>
      <c r="S975" s="307"/>
      <c r="T975" s="301"/>
      <c r="U975" s="301"/>
      <c r="W975" s="267"/>
      <c r="X975" s="240"/>
      <c r="Y975" s="268"/>
      <c r="Z975" s="240"/>
      <c r="AA975" s="241"/>
    </row>
    <row r="976" spans="1:27" s="322" customFormat="1">
      <c r="A976" s="312"/>
      <c r="B976" s="76"/>
      <c r="C976" s="76"/>
      <c r="D976" s="330"/>
      <c r="E976" s="331"/>
      <c r="F976" s="331"/>
      <c r="G976" s="331"/>
      <c r="H976" s="331"/>
      <c r="I976" s="331"/>
      <c r="J976" s="331"/>
      <c r="K976" s="331"/>
      <c r="L976" s="331"/>
      <c r="M976" s="331"/>
      <c r="N976" s="303"/>
      <c r="O976" s="304"/>
      <c r="P976" s="312"/>
      <c r="Q976" s="314"/>
      <c r="R976" s="315"/>
      <c r="S976" s="307"/>
      <c r="T976" s="301"/>
      <c r="U976" s="301"/>
      <c r="W976" s="267"/>
      <c r="X976" s="240"/>
      <c r="Y976" s="268"/>
      <c r="Z976" s="240"/>
      <c r="AA976" s="241"/>
    </row>
    <row r="977" spans="1:27" s="322" customFormat="1">
      <c r="A977" s="312"/>
      <c r="B977" s="76"/>
      <c r="C977" s="76"/>
      <c r="D977" s="330"/>
      <c r="E977" s="331"/>
      <c r="F977" s="331"/>
      <c r="G977" s="331"/>
      <c r="H977" s="331"/>
      <c r="I977" s="331"/>
      <c r="J977" s="331"/>
      <c r="K977" s="331"/>
      <c r="L977" s="331"/>
      <c r="M977" s="331"/>
      <c r="N977" s="303"/>
      <c r="O977" s="304"/>
      <c r="P977" s="312"/>
      <c r="Q977" s="314"/>
      <c r="R977" s="315"/>
      <c r="S977" s="307"/>
      <c r="T977" s="301"/>
      <c r="U977" s="301"/>
      <c r="W977" s="267"/>
      <c r="X977" s="240"/>
      <c r="Y977" s="268"/>
      <c r="Z977" s="240"/>
      <c r="AA977" s="241"/>
    </row>
    <row r="978" spans="1:27" s="322" customFormat="1">
      <c r="A978" s="312"/>
      <c r="B978" s="76"/>
      <c r="C978" s="76"/>
      <c r="D978" s="330"/>
      <c r="E978" s="331"/>
      <c r="F978" s="331"/>
      <c r="G978" s="331"/>
      <c r="H978" s="331"/>
      <c r="I978" s="331"/>
      <c r="J978" s="331"/>
      <c r="K978" s="331"/>
      <c r="L978" s="331"/>
      <c r="M978" s="331"/>
      <c r="N978" s="303"/>
      <c r="O978" s="304"/>
      <c r="P978" s="312"/>
      <c r="Q978" s="314"/>
      <c r="R978" s="315"/>
      <c r="S978" s="307"/>
      <c r="T978" s="301"/>
      <c r="U978" s="301"/>
      <c r="W978" s="267"/>
      <c r="X978" s="240"/>
      <c r="Y978" s="268"/>
      <c r="Z978" s="240"/>
      <c r="AA978" s="241"/>
    </row>
    <row r="979" spans="1:27" s="322" customFormat="1">
      <c r="A979" s="312"/>
      <c r="B979" s="76"/>
      <c r="C979" s="76"/>
      <c r="D979" s="330"/>
      <c r="E979" s="331"/>
      <c r="F979" s="331"/>
      <c r="G979" s="331"/>
      <c r="H979" s="331"/>
      <c r="I979" s="331"/>
      <c r="J979" s="331"/>
      <c r="K979" s="331"/>
      <c r="L979" s="331"/>
      <c r="M979" s="331"/>
      <c r="N979" s="303"/>
      <c r="O979" s="304"/>
      <c r="P979" s="312"/>
      <c r="Q979" s="314"/>
      <c r="R979" s="315"/>
      <c r="S979" s="307"/>
      <c r="T979" s="301"/>
      <c r="U979" s="301"/>
      <c r="W979" s="267"/>
      <c r="X979" s="240"/>
      <c r="Y979" s="268"/>
      <c r="Z979" s="240"/>
      <c r="AA979" s="241"/>
    </row>
    <row r="980" spans="1:27" s="322" customFormat="1">
      <c r="A980" s="312"/>
      <c r="B980" s="76"/>
      <c r="C980" s="76"/>
      <c r="D980" s="330"/>
      <c r="E980" s="331"/>
      <c r="F980" s="331"/>
      <c r="G980" s="331"/>
      <c r="H980" s="331"/>
      <c r="I980" s="331"/>
      <c r="J980" s="331"/>
      <c r="K980" s="331"/>
      <c r="L980" s="331"/>
      <c r="M980" s="331"/>
      <c r="N980" s="303"/>
      <c r="O980" s="304"/>
      <c r="P980" s="312"/>
      <c r="Q980" s="314"/>
      <c r="R980" s="315"/>
      <c r="S980" s="307"/>
      <c r="T980" s="301"/>
      <c r="U980" s="301"/>
      <c r="W980" s="267"/>
      <c r="X980" s="240"/>
      <c r="Y980" s="268"/>
      <c r="Z980" s="240"/>
      <c r="AA980" s="241"/>
    </row>
    <row r="981" spans="1:27" s="322" customFormat="1">
      <c r="A981" s="312"/>
      <c r="B981" s="76"/>
      <c r="C981" s="76"/>
      <c r="D981" s="330"/>
      <c r="E981" s="331"/>
      <c r="F981" s="331"/>
      <c r="G981" s="331"/>
      <c r="H981" s="331"/>
      <c r="I981" s="331"/>
      <c r="J981" s="331"/>
      <c r="K981" s="331"/>
      <c r="L981" s="331"/>
      <c r="M981" s="331"/>
      <c r="N981" s="303"/>
      <c r="O981" s="304"/>
      <c r="P981" s="312"/>
      <c r="Q981" s="314"/>
      <c r="R981" s="315"/>
      <c r="S981" s="307"/>
      <c r="T981" s="301"/>
      <c r="U981" s="301"/>
      <c r="W981" s="267"/>
      <c r="X981" s="240"/>
      <c r="Y981" s="268"/>
      <c r="Z981" s="240"/>
      <c r="AA981" s="241"/>
    </row>
    <row r="982" spans="1:27" s="322" customFormat="1">
      <c r="A982" s="312"/>
      <c r="B982" s="76"/>
      <c r="C982" s="76"/>
      <c r="D982" s="330"/>
      <c r="E982" s="331"/>
      <c r="F982" s="331"/>
      <c r="G982" s="331"/>
      <c r="H982" s="331"/>
      <c r="I982" s="331"/>
      <c r="J982" s="331"/>
      <c r="K982" s="331"/>
      <c r="L982" s="331"/>
      <c r="M982" s="331"/>
      <c r="N982" s="303"/>
      <c r="O982" s="304"/>
      <c r="P982" s="312"/>
      <c r="Q982" s="314"/>
      <c r="R982" s="315"/>
      <c r="S982" s="307"/>
      <c r="T982" s="301"/>
      <c r="U982" s="301"/>
      <c r="W982" s="267"/>
      <c r="X982" s="240"/>
      <c r="Y982" s="268"/>
      <c r="Z982" s="240"/>
      <c r="AA982" s="241"/>
    </row>
    <row r="983" spans="1:27" s="322" customFormat="1">
      <c r="A983" s="312"/>
      <c r="B983" s="76"/>
      <c r="C983" s="76"/>
      <c r="D983" s="330"/>
      <c r="E983" s="331"/>
      <c r="F983" s="331"/>
      <c r="G983" s="331"/>
      <c r="H983" s="331"/>
      <c r="I983" s="331"/>
      <c r="J983" s="331"/>
      <c r="K983" s="331"/>
      <c r="L983" s="331"/>
      <c r="M983" s="331"/>
      <c r="N983" s="303"/>
      <c r="O983" s="304"/>
      <c r="P983" s="312"/>
      <c r="Q983" s="314"/>
      <c r="R983" s="315"/>
      <c r="S983" s="307"/>
      <c r="T983" s="301"/>
      <c r="U983" s="301"/>
      <c r="W983" s="267"/>
      <c r="X983" s="240"/>
      <c r="Y983" s="268"/>
      <c r="Z983" s="240"/>
      <c r="AA983" s="241"/>
    </row>
    <row r="984" spans="1:27" s="322" customFormat="1">
      <c r="A984" s="312"/>
      <c r="B984" s="76"/>
      <c r="C984" s="76"/>
      <c r="D984" s="330"/>
      <c r="E984" s="331"/>
      <c r="F984" s="331"/>
      <c r="G984" s="331"/>
      <c r="H984" s="331"/>
      <c r="I984" s="331"/>
      <c r="J984" s="331"/>
      <c r="K984" s="331"/>
      <c r="L984" s="331"/>
      <c r="M984" s="331"/>
      <c r="N984" s="303"/>
      <c r="O984" s="304"/>
      <c r="P984" s="312"/>
      <c r="Q984" s="314"/>
      <c r="R984" s="315"/>
      <c r="S984" s="307"/>
      <c r="T984" s="301"/>
      <c r="U984" s="301"/>
      <c r="W984" s="267"/>
      <c r="X984" s="240"/>
      <c r="Y984" s="268"/>
      <c r="Z984" s="240"/>
      <c r="AA984" s="241"/>
    </row>
    <row r="985" spans="1:27" s="322" customFormat="1">
      <c r="A985" s="312"/>
      <c r="B985" s="76"/>
      <c r="C985" s="76"/>
      <c r="D985" s="330"/>
      <c r="E985" s="331"/>
      <c r="F985" s="331"/>
      <c r="G985" s="331"/>
      <c r="H985" s="331"/>
      <c r="I985" s="331"/>
      <c r="J985" s="331"/>
      <c r="K985" s="331"/>
      <c r="L985" s="331"/>
      <c r="M985" s="331"/>
      <c r="N985" s="303"/>
      <c r="O985" s="304"/>
      <c r="P985" s="312"/>
      <c r="Q985" s="314"/>
      <c r="R985" s="315"/>
      <c r="S985" s="307"/>
      <c r="T985" s="301"/>
      <c r="U985" s="301"/>
      <c r="W985" s="267"/>
      <c r="X985" s="240"/>
      <c r="Y985" s="268"/>
      <c r="Z985" s="240"/>
      <c r="AA985" s="241"/>
    </row>
    <row r="986" spans="1:27" s="322" customFormat="1">
      <c r="A986" s="312"/>
      <c r="B986" s="76"/>
      <c r="C986" s="76"/>
      <c r="D986" s="330"/>
      <c r="E986" s="331"/>
      <c r="F986" s="331"/>
      <c r="G986" s="331"/>
      <c r="H986" s="331"/>
      <c r="I986" s="331"/>
      <c r="J986" s="331"/>
      <c r="K986" s="331"/>
      <c r="L986" s="331"/>
      <c r="M986" s="331"/>
      <c r="N986" s="303"/>
      <c r="O986" s="304"/>
      <c r="P986" s="312"/>
      <c r="Q986" s="314"/>
      <c r="R986" s="315"/>
      <c r="S986" s="307"/>
      <c r="T986" s="301"/>
      <c r="U986" s="301"/>
      <c r="W986" s="267"/>
      <c r="X986" s="240"/>
      <c r="Y986" s="268"/>
      <c r="Z986" s="240"/>
      <c r="AA986" s="241"/>
    </row>
    <row r="987" spans="1:27" s="322" customFormat="1">
      <c r="A987" s="312"/>
      <c r="B987" s="76"/>
      <c r="C987" s="76"/>
      <c r="D987" s="330"/>
      <c r="E987" s="331"/>
      <c r="F987" s="331"/>
      <c r="G987" s="331"/>
      <c r="H987" s="331"/>
      <c r="I987" s="331"/>
      <c r="J987" s="331"/>
      <c r="K987" s="331"/>
      <c r="L987" s="331"/>
      <c r="M987" s="331"/>
      <c r="N987" s="303"/>
      <c r="O987" s="304"/>
      <c r="P987" s="312"/>
      <c r="Q987" s="314"/>
      <c r="R987" s="315"/>
      <c r="S987" s="307"/>
      <c r="T987" s="301"/>
      <c r="U987" s="301"/>
      <c r="W987" s="267"/>
      <c r="X987" s="240"/>
      <c r="Y987" s="268"/>
      <c r="Z987" s="240"/>
      <c r="AA987" s="241"/>
    </row>
    <row r="988" spans="1:27" s="322" customFormat="1">
      <c r="A988" s="312"/>
      <c r="B988" s="76"/>
      <c r="C988" s="76"/>
      <c r="D988" s="330"/>
      <c r="E988" s="331"/>
      <c r="F988" s="331"/>
      <c r="G988" s="331"/>
      <c r="H988" s="331"/>
      <c r="I988" s="331"/>
      <c r="J988" s="331"/>
      <c r="K988" s="331"/>
      <c r="L988" s="331"/>
      <c r="M988" s="331"/>
      <c r="N988" s="303"/>
      <c r="O988" s="304"/>
      <c r="P988" s="312"/>
      <c r="Q988" s="314"/>
      <c r="R988" s="315"/>
      <c r="S988" s="307"/>
      <c r="T988" s="301"/>
      <c r="U988" s="301"/>
      <c r="W988" s="267"/>
      <c r="X988" s="240"/>
      <c r="Y988" s="268"/>
      <c r="Z988" s="240"/>
      <c r="AA988" s="241"/>
    </row>
    <row r="989" spans="1:27" s="322" customFormat="1">
      <c r="A989" s="312"/>
      <c r="B989" s="76"/>
      <c r="C989" s="76"/>
      <c r="D989" s="330"/>
      <c r="E989" s="331"/>
      <c r="F989" s="331"/>
      <c r="G989" s="331"/>
      <c r="H989" s="331"/>
      <c r="I989" s="331"/>
      <c r="J989" s="331"/>
      <c r="K989" s="331"/>
      <c r="L989" s="331"/>
      <c r="M989" s="331"/>
      <c r="N989" s="303"/>
      <c r="O989" s="304"/>
      <c r="P989" s="312"/>
      <c r="Q989" s="314"/>
      <c r="R989" s="315"/>
      <c r="S989" s="307"/>
      <c r="T989" s="301"/>
      <c r="U989" s="301"/>
      <c r="W989" s="267"/>
      <c r="X989" s="240"/>
      <c r="Y989" s="268"/>
      <c r="Z989" s="240"/>
      <c r="AA989" s="241"/>
    </row>
    <row r="990" spans="1:27" s="322" customFormat="1">
      <c r="A990" s="312"/>
      <c r="B990" s="76"/>
      <c r="C990" s="76"/>
      <c r="D990" s="330"/>
      <c r="E990" s="331"/>
      <c r="F990" s="331"/>
      <c r="G990" s="331"/>
      <c r="H990" s="331"/>
      <c r="I990" s="331"/>
      <c r="J990" s="331"/>
      <c r="K990" s="331"/>
      <c r="L990" s="331"/>
      <c r="M990" s="331"/>
      <c r="N990" s="303"/>
      <c r="O990" s="304"/>
      <c r="P990" s="312"/>
      <c r="Q990" s="314"/>
      <c r="R990" s="315"/>
      <c r="S990" s="307"/>
      <c r="T990" s="301"/>
      <c r="U990" s="301"/>
      <c r="W990" s="267"/>
      <c r="X990" s="240"/>
      <c r="Y990" s="268"/>
      <c r="Z990" s="240"/>
      <c r="AA990" s="241"/>
    </row>
    <row r="991" spans="1:27" s="322" customFormat="1">
      <c r="A991" s="312"/>
      <c r="B991" s="76"/>
      <c r="C991" s="76"/>
      <c r="D991" s="330"/>
      <c r="E991" s="331"/>
      <c r="F991" s="331"/>
      <c r="G991" s="331"/>
      <c r="H991" s="331"/>
      <c r="I991" s="331"/>
      <c r="J991" s="331"/>
      <c r="K991" s="331"/>
      <c r="L991" s="331"/>
      <c r="M991" s="331"/>
      <c r="N991" s="303"/>
      <c r="O991" s="304"/>
      <c r="P991" s="312"/>
      <c r="Q991" s="314"/>
      <c r="R991" s="315"/>
      <c r="S991" s="307"/>
      <c r="T991" s="301"/>
      <c r="U991" s="301"/>
      <c r="W991" s="267"/>
      <c r="X991" s="240"/>
      <c r="Y991" s="268"/>
      <c r="Z991" s="240"/>
      <c r="AA991" s="241"/>
    </row>
    <row r="992" spans="1:27" s="322" customFormat="1">
      <c r="A992" s="312"/>
      <c r="B992" s="76"/>
      <c r="C992" s="76"/>
      <c r="D992" s="330"/>
      <c r="E992" s="331"/>
      <c r="F992" s="331"/>
      <c r="G992" s="331"/>
      <c r="H992" s="331"/>
      <c r="I992" s="331"/>
      <c r="J992" s="331"/>
      <c r="K992" s="331"/>
      <c r="L992" s="331"/>
      <c r="M992" s="331"/>
      <c r="N992" s="303"/>
      <c r="O992" s="304"/>
      <c r="P992" s="312"/>
      <c r="Q992" s="312"/>
      <c r="R992" s="76"/>
      <c r="S992" s="307"/>
      <c r="T992" s="301"/>
      <c r="U992" s="301"/>
      <c r="W992" s="267"/>
      <c r="X992" s="240"/>
      <c r="Y992" s="268"/>
      <c r="Z992" s="240"/>
      <c r="AA992" s="241"/>
    </row>
    <row r="993" spans="1:27" s="322" customFormat="1">
      <c r="A993" s="312"/>
      <c r="B993" s="76"/>
      <c r="C993" s="76"/>
      <c r="D993" s="330"/>
      <c r="E993" s="331"/>
      <c r="F993" s="331"/>
      <c r="G993" s="331"/>
      <c r="H993" s="331"/>
      <c r="I993" s="331"/>
      <c r="J993" s="331"/>
      <c r="K993" s="331"/>
      <c r="L993" s="331"/>
      <c r="M993" s="331"/>
      <c r="N993" s="303"/>
      <c r="O993" s="304"/>
      <c r="P993" s="312"/>
      <c r="Q993" s="312"/>
      <c r="R993" s="76"/>
      <c r="S993" s="307"/>
      <c r="T993" s="301"/>
      <c r="U993" s="301"/>
      <c r="W993" s="267"/>
      <c r="X993" s="240"/>
      <c r="Y993" s="268"/>
      <c r="Z993" s="240"/>
      <c r="AA993" s="241"/>
    </row>
    <row r="994" spans="1:27" s="322" customFormat="1">
      <c r="A994" s="312"/>
      <c r="B994" s="76"/>
      <c r="C994" s="76"/>
      <c r="D994" s="330"/>
      <c r="E994" s="331"/>
      <c r="F994" s="331"/>
      <c r="G994" s="331"/>
      <c r="H994" s="331"/>
      <c r="I994" s="331"/>
      <c r="J994" s="331"/>
      <c r="K994" s="331"/>
      <c r="L994" s="331"/>
      <c r="M994" s="331"/>
      <c r="N994" s="303"/>
      <c r="O994" s="304"/>
      <c r="P994" s="312"/>
      <c r="Q994" s="312"/>
      <c r="R994" s="76"/>
      <c r="S994" s="307"/>
      <c r="T994" s="301"/>
      <c r="U994" s="301"/>
      <c r="W994" s="267"/>
      <c r="X994" s="240"/>
      <c r="Y994" s="268"/>
      <c r="Z994" s="240"/>
      <c r="AA994" s="241"/>
    </row>
    <row r="995" spans="1:27" s="322" customFormat="1">
      <c r="A995" s="312"/>
      <c r="B995" s="76"/>
      <c r="C995" s="76"/>
      <c r="D995" s="330"/>
      <c r="E995" s="331"/>
      <c r="F995" s="331"/>
      <c r="G995" s="331"/>
      <c r="H995" s="331"/>
      <c r="I995" s="331"/>
      <c r="J995" s="331"/>
      <c r="K995" s="331"/>
      <c r="L995" s="331"/>
      <c r="M995" s="331"/>
      <c r="N995" s="303"/>
      <c r="O995" s="304"/>
      <c r="P995" s="312"/>
      <c r="Q995" s="312"/>
      <c r="R995" s="76"/>
      <c r="S995" s="307"/>
      <c r="T995" s="301"/>
      <c r="U995" s="301"/>
      <c r="W995" s="267"/>
      <c r="X995" s="240"/>
      <c r="Y995" s="268"/>
      <c r="Z995" s="240"/>
      <c r="AA995" s="241"/>
    </row>
    <row r="996" spans="1:27" s="322" customFormat="1">
      <c r="A996" s="312"/>
      <c r="B996" s="76"/>
      <c r="C996" s="76"/>
      <c r="D996" s="330"/>
      <c r="E996" s="331"/>
      <c r="F996" s="331"/>
      <c r="G996" s="331"/>
      <c r="H996" s="331"/>
      <c r="I996" s="331"/>
      <c r="J996" s="331"/>
      <c r="K996" s="331"/>
      <c r="L996" s="331"/>
      <c r="M996" s="331"/>
      <c r="N996" s="303"/>
      <c r="O996" s="304"/>
      <c r="P996" s="312"/>
      <c r="Q996" s="312"/>
      <c r="R996" s="76"/>
      <c r="S996" s="307"/>
      <c r="T996" s="301"/>
      <c r="U996" s="301"/>
      <c r="W996" s="267"/>
      <c r="X996" s="240"/>
      <c r="Y996" s="268"/>
      <c r="Z996" s="240"/>
      <c r="AA996" s="241"/>
    </row>
    <row r="997" spans="1:27" s="322" customFormat="1">
      <c r="A997" s="312"/>
      <c r="B997" s="76"/>
      <c r="C997" s="76"/>
      <c r="D997" s="330"/>
      <c r="E997" s="331"/>
      <c r="F997" s="331"/>
      <c r="G997" s="331"/>
      <c r="H997" s="331"/>
      <c r="I997" s="331"/>
      <c r="J997" s="331"/>
      <c r="K997" s="331"/>
      <c r="L997" s="331"/>
      <c r="M997" s="331"/>
      <c r="N997" s="303"/>
      <c r="O997" s="304"/>
      <c r="P997" s="312"/>
      <c r="Q997" s="312"/>
      <c r="R997" s="76"/>
      <c r="S997" s="307"/>
      <c r="T997" s="301"/>
      <c r="U997" s="301"/>
      <c r="W997" s="267"/>
      <c r="X997" s="240"/>
      <c r="Y997" s="268"/>
      <c r="Z997" s="240"/>
      <c r="AA997" s="241"/>
    </row>
    <row r="998" spans="1:27" s="322" customFormat="1">
      <c r="A998" s="312"/>
      <c r="B998" s="76"/>
      <c r="C998" s="76"/>
      <c r="D998" s="330"/>
      <c r="E998" s="331"/>
      <c r="F998" s="331"/>
      <c r="G998" s="331"/>
      <c r="H998" s="331"/>
      <c r="I998" s="331"/>
      <c r="J998" s="331"/>
      <c r="K998" s="331"/>
      <c r="L998" s="331"/>
      <c r="M998" s="331"/>
      <c r="N998" s="303"/>
      <c r="O998" s="304"/>
      <c r="P998" s="312"/>
      <c r="Q998" s="312"/>
      <c r="R998" s="76"/>
      <c r="S998" s="307"/>
      <c r="T998" s="301"/>
      <c r="U998" s="301"/>
      <c r="W998" s="267"/>
      <c r="X998" s="240"/>
      <c r="Y998" s="268"/>
      <c r="Z998" s="240"/>
      <c r="AA998" s="241"/>
    </row>
    <row r="999" spans="1:27" s="322" customFormat="1">
      <c r="A999" s="312"/>
      <c r="B999" s="76"/>
      <c r="C999" s="76"/>
      <c r="D999" s="330"/>
      <c r="E999" s="331"/>
      <c r="F999" s="331"/>
      <c r="G999" s="331"/>
      <c r="H999" s="331"/>
      <c r="I999" s="331"/>
      <c r="J999" s="331"/>
      <c r="K999" s="331"/>
      <c r="L999" s="331"/>
      <c r="M999" s="331"/>
      <c r="N999" s="303"/>
      <c r="O999" s="304"/>
      <c r="P999" s="312"/>
      <c r="Q999" s="312"/>
      <c r="R999" s="76"/>
      <c r="S999" s="307"/>
      <c r="T999" s="301"/>
      <c r="U999" s="301"/>
      <c r="W999" s="267"/>
      <c r="X999" s="240"/>
      <c r="Y999" s="268"/>
      <c r="Z999" s="240"/>
      <c r="AA999" s="241"/>
    </row>
    <row r="1000" spans="1:27" s="322" customFormat="1">
      <c r="A1000" s="312"/>
      <c r="B1000" s="76"/>
      <c r="C1000" s="76"/>
      <c r="D1000" s="330"/>
      <c r="E1000" s="331"/>
      <c r="F1000" s="331"/>
      <c r="G1000" s="331"/>
      <c r="H1000" s="331"/>
      <c r="I1000" s="331"/>
      <c r="J1000" s="331"/>
      <c r="K1000" s="331"/>
      <c r="L1000" s="331"/>
      <c r="M1000" s="331"/>
      <c r="N1000" s="303"/>
      <c r="O1000" s="304"/>
      <c r="P1000" s="312"/>
      <c r="Q1000" s="312"/>
      <c r="R1000" s="76"/>
      <c r="S1000" s="307"/>
      <c r="T1000" s="301"/>
      <c r="U1000" s="301"/>
      <c r="W1000" s="267"/>
      <c r="X1000" s="240"/>
      <c r="Y1000" s="268"/>
      <c r="Z1000" s="240"/>
      <c r="AA1000" s="241"/>
    </row>
    <row r="1001" spans="1:27" s="322" customFormat="1">
      <c r="A1001" s="312"/>
      <c r="B1001" s="76"/>
      <c r="C1001" s="76"/>
      <c r="D1001" s="330"/>
      <c r="E1001" s="331"/>
      <c r="F1001" s="331"/>
      <c r="G1001" s="331"/>
      <c r="H1001" s="331"/>
      <c r="I1001" s="331"/>
      <c r="J1001" s="331"/>
      <c r="K1001" s="331"/>
      <c r="L1001" s="331"/>
      <c r="M1001" s="331"/>
      <c r="N1001" s="303"/>
      <c r="O1001" s="304"/>
      <c r="P1001" s="312"/>
      <c r="Q1001" s="312"/>
      <c r="R1001" s="76"/>
      <c r="S1001" s="307"/>
      <c r="T1001" s="301"/>
      <c r="U1001" s="301"/>
      <c r="W1001" s="267"/>
      <c r="X1001" s="240"/>
      <c r="Y1001" s="268"/>
      <c r="Z1001" s="240"/>
      <c r="AA1001" s="241"/>
    </row>
    <row r="1002" spans="1:27" s="322" customFormat="1">
      <c r="A1002" s="312"/>
      <c r="B1002" s="76"/>
      <c r="C1002" s="76"/>
      <c r="D1002" s="330"/>
      <c r="E1002" s="331"/>
      <c r="F1002" s="331"/>
      <c r="G1002" s="331"/>
      <c r="H1002" s="331"/>
      <c r="I1002" s="331"/>
      <c r="J1002" s="331"/>
      <c r="K1002" s="331"/>
      <c r="L1002" s="331"/>
      <c r="M1002" s="331"/>
      <c r="N1002" s="303"/>
      <c r="O1002" s="304"/>
      <c r="P1002" s="312"/>
      <c r="Q1002" s="312"/>
      <c r="R1002" s="76"/>
      <c r="S1002" s="307"/>
      <c r="T1002" s="301"/>
      <c r="U1002" s="301"/>
      <c r="W1002" s="267"/>
      <c r="X1002" s="240"/>
      <c r="Y1002" s="268"/>
      <c r="Z1002" s="240"/>
      <c r="AA1002" s="241"/>
    </row>
    <row r="1003" spans="1:27" s="322" customFormat="1">
      <c r="A1003" s="312"/>
      <c r="B1003" s="76"/>
      <c r="C1003" s="76"/>
      <c r="D1003" s="330"/>
      <c r="E1003" s="331"/>
      <c r="F1003" s="331"/>
      <c r="G1003" s="331"/>
      <c r="H1003" s="331"/>
      <c r="I1003" s="331"/>
      <c r="J1003" s="331"/>
      <c r="K1003" s="331"/>
      <c r="L1003" s="331"/>
      <c r="M1003" s="331"/>
      <c r="N1003" s="303"/>
      <c r="O1003" s="304"/>
      <c r="P1003" s="312"/>
      <c r="Q1003" s="312"/>
      <c r="R1003" s="76"/>
      <c r="S1003" s="307"/>
      <c r="T1003" s="301"/>
      <c r="U1003" s="301"/>
      <c r="W1003" s="267"/>
      <c r="X1003" s="240"/>
      <c r="Y1003" s="268"/>
      <c r="Z1003" s="240"/>
      <c r="AA1003" s="241"/>
    </row>
    <row r="1004" spans="1:27" s="322" customFormat="1">
      <c r="A1004" s="312"/>
      <c r="B1004" s="76"/>
      <c r="C1004" s="76"/>
      <c r="D1004" s="330"/>
      <c r="E1004" s="331"/>
      <c r="F1004" s="331"/>
      <c r="G1004" s="331"/>
      <c r="H1004" s="331"/>
      <c r="I1004" s="331"/>
      <c r="J1004" s="331"/>
      <c r="K1004" s="331"/>
      <c r="L1004" s="331"/>
      <c r="M1004" s="331"/>
      <c r="N1004" s="303"/>
      <c r="O1004" s="304"/>
      <c r="P1004" s="312"/>
      <c r="Q1004" s="312"/>
      <c r="R1004" s="76"/>
      <c r="S1004" s="307"/>
      <c r="T1004" s="301"/>
      <c r="U1004" s="301"/>
      <c r="W1004" s="267"/>
      <c r="X1004" s="240"/>
      <c r="Y1004" s="268"/>
      <c r="Z1004" s="240"/>
      <c r="AA1004" s="241"/>
    </row>
    <row r="1005" spans="1:27" s="322" customFormat="1">
      <c r="A1005" s="312"/>
      <c r="B1005" s="76"/>
      <c r="C1005" s="76"/>
      <c r="D1005" s="330"/>
      <c r="E1005" s="331"/>
      <c r="F1005" s="331"/>
      <c r="G1005" s="331"/>
      <c r="H1005" s="331"/>
      <c r="I1005" s="331"/>
      <c r="J1005" s="331"/>
      <c r="K1005" s="331"/>
      <c r="L1005" s="331"/>
      <c r="M1005" s="331"/>
      <c r="N1005" s="303"/>
      <c r="O1005" s="304"/>
      <c r="P1005" s="312"/>
      <c r="Q1005" s="312"/>
      <c r="R1005" s="76"/>
      <c r="S1005" s="307"/>
      <c r="T1005" s="301"/>
      <c r="U1005" s="301"/>
      <c r="W1005" s="267"/>
      <c r="X1005" s="240"/>
      <c r="Y1005" s="268"/>
      <c r="Z1005" s="240"/>
      <c r="AA1005" s="241"/>
    </row>
    <row r="1006" spans="1:27" s="322" customFormat="1">
      <c r="A1006" s="312"/>
      <c r="B1006" s="76"/>
      <c r="C1006" s="76"/>
      <c r="D1006" s="330"/>
      <c r="E1006" s="331"/>
      <c r="F1006" s="331"/>
      <c r="G1006" s="331"/>
      <c r="H1006" s="331"/>
      <c r="I1006" s="331"/>
      <c r="J1006" s="331"/>
      <c r="K1006" s="331"/>
      <c r="L1006" s="331"/>
      <c r="M1006" s="331"/>
      <c r="N1006" s="303"/>
      <c r="O1006" s="304"/>
      <c r="P1006" s="312"/>
      <c r="Q1006" s="312"/>
      <c r="R1006" s="76"/>
      <c r="S1006" s="307"/>
      <c r="T1006" s="301"/>
      <c r="U1006" s="301"/>
      <c r="W1006" s="267"/>
      <c r="X1006" s="240"/>
      <c r="Y1006" s="268"/>
      <c r="Z1006" s="240"/>
      <c r="AA1006" s="241"/>
    </row>
    <row r="1007" spans="1:27" s="322" customFormat="1">
      <c r="A1007" s="312"/>
      <c r="B1007" s="76"/>
      <c r="C1007" s="76"/>
      <c r="D1007" s="330"/>
      <c r="E1007" s="331"/>
      <c r="F1007" s="331"/>
      <c r="G1007" s="331"/>
      <c r="H1007" s="331"/>
      <c r="I1007" s="331"/>
      <c r="J1007" s="331"/>
      <c r="K1007" s="331"/>
      <c r="L1007" s="331"/>
      <c r="M1007" s="331"/>
      <c r="N1007" s="303"/>
      <c r="O1007" s="304"/>
      <c r="P1007" s="312"/>
      <c r="Q1007" s="312"/>
      <c r="R1007" s="76"/>
      <c r="S1007" s="307"/>
      <c r="T1007" s="301"/>
      <c r="U1007" s="301"/>
      <c r="W1007" s="267"/>
      <c r="X1007" s="240"/>
      <c r="Y1007" s="268"/>
      <c r="Z1007" s="240"/>
      <c r="AA1007" s="241"/>
    </row>
    <row r="1008" spans="1:27" s="322" customFormat="1">
      <c r="A1008" s="312"/>
      <c r="B1008" s="76"/>
      <c r="C1008" s="76"/>
      <c r="D1008" s="330"/>
      <c r="E1008" s="331"/>
      <c r="F1008" s="331"/>
      <c r="G1008" s="331"/>
      <c r="H1008" s="331"/>
      <c r="I1008" s="331"/>
      <c r="J1008" s="331"/>
      <c r="K1008" s="331"/>
      <c r="L1008" s="331"/>
      <c r="M1008" s="331"/>
      <c r="N1008" s="303"/>
      <c r="O1008" s="304"/>
      <c r="P1008" s="312"/>
      <c r="Q1008" s="312"/>
      <c r="R1008" s="76"/>
      <c r="S1008" s="307"/>
      <c r="T1008" s="301"/>
      <c r="U1008" s="301"/>
      <c r="W1008" s="267"/>
      <c r="X1008" s="240"/>
      <c r="Y1008" s="268"/>
      <c r="Z1008" s="240"/>
      <c r="AA1008" s="241"/>
    </row>
    <row r="1009" spans="1:27" s="322" customFormat="1">
      <c r="A1009" s="312"/>
      <c r="B1009" s="76"/>
      <c r="C1009" s="76"/>
      <c r="D1009" s="330"/>
      <c r="E1009" s="331"/>
      <c r="F1009" s="331"/>
      <c r="G1009" s="331"/>
      <c r="H1009" s="331"/>
      <c r="I1009" s="331"/>
      <c r="J1009" s="331"/>
      <c r="K1009" s="331"/>
      <c r="L1009" s="331"/>
      <c r="M1009" s="331"/>
      <c r="N1009" s="303"/>
      <c r="O1009" s="304"/>
      <c r="P1009" s="312"/>
      <c r="Q1009" s="312"/>
      <c r="R1009" s="76"/>
      <c r="S1009" s="307"/>
      <c r="T1009" s="301"/>
      <c r="U1009" s="301"/>
      <c r="W1009" s="267"/>
      <c r="X1009" s="240"/>
      <c r="Y1009" s="268"/>
      <c r="Z1009" s="240"/>
      <c r="AA1009" s="241"/>
    </row>
    <row r="1010" spans="1:27" s="322" customFormat="1">
      <c r="A1010" s="312"/>
      <c r="B1010" s="76"/>
      <c r="C1010" s="76"/>
      <c r="D1010" s="330"/>
      <c r="E1010" s="331"/>
      <c r="F1010" s="331"/>
      <c r="G1010" s="331"/>
      <c r="H1010" s="331"/>
      <c r="I1010" s="331"/>
      <c r="J1010" s="331"/>
      <c r="K1010" s="331"/>
      <c r="L1010" s="331"/>
      <c r="M1010" s="331"/>
      <c r="N1010" s="303"/>
      <c r="O1010" s="304"/>
      <c r="P1010" s="312"/>
      <c r="Q1010" s="312"/>
      <c r="R1010" s="76"/>
      <c r="S1010" s="307"/>
      <c r="T1010" s="301"/>
      <c r="U1010" s="301"/>
      <c r="W1010" s="267"/>
      <c r="X1010" s="240"/>
      <c r="Y1010" s="268"/>
      <c r="Z1010" s="240"/>
      <c r="AA1010" s="241"/>
    </row>
    <row r="1011" spans="1:27" s="322" customFormat="1">
      <c r="A1011" s="312"/>
      <c r="B1011" s="76"/>
      <c r="C1011" s="76"/>
      <c r="D1011" s="330"/>
      <c r="E1011" s="331"/>
      <c r="F1011" s="331"/>
      <c r="G1011" s="331"/>
      <c r="H1011" s="331"/>
      <c r="I1011" s="331"/>
      <c r="J1011" s="331"/>
      <c r="K1011" s="331"/>
      <c r="L1011" s="331"/>
      <c r="M1011" s="331"/>
      <c r="N1011" s="303"/>
      <c r="O1011" s="304"/>
      <c r="P1011" s="312"/>
      <c r="Q1011" s="312"/>
      <c r="R1011" s="76"/>
      <c r="S1011" s="307"/>
      <c r="T1011" s="301"/>
      <c r="U1011" s="301"/>
      <c r="W1011" s="267"/>
      <c r="X1011" s="240"/>
      <c r="Y1011" s="268"/>
      <c r="Z1011" s="240"/>
      <c r="AA1011" s="241"/>
    </row>
    <row r="1012" spans="1:27" s="322" customFormat="1">
      <c r="A1012" s="312"/>
      <c r="B1012" s="76"/>
      <c r="C1012" s="76"/>
      <c r="D1012" s="330"/>
      <c r="E1012" s="331"/>
      <c r="F1012" s="331"/>
      <c r="G1012" s="331"/>
      <c r="H1012" s="331"/>
      <c r="I1012" s="331"/>
      <c r="J1012" s="331"/>
      <c r="K1012" s="331"/>
      <c r="L1012" s="331"/>
      <c r="M1012" s="331"/>
      <c r="N1012" s="303"/>
      <c r="O1012" s="304"/>
      <c r="P1012" s="312"/>
      <c r="Q1012" s="312"/>
      <c r="R1012" s="76"/>
      <c r="S1012" s="307"/>
      <c r="T1012" s="301"/>
      <c r="U1012" s="301"/>
      <c r="W1012" s="267"/>
      <c r="X1012" s="240"/>
      <c r="Y1012" s="268"/>
      <c r="Z1012" s="240"/>
      <c r="AA1012" s="241"/>
    </row>
    <row r="1013" spans="1:27" s="322" customFormat="1">
      <c r="A1013" s="312"/>
      <c r="B1013" s="76"/>
      <c r="C1013" s="76"/>
      <c r="D1013" s="330"/>
      <c r="E1013" s="331"/>
      <c r="F1013" s="331"/>
      <c r="G1013" s="331"/>
      <c r="H1013" s="331"/>
      <c r="I1013" s="331"/>
      <c r="J1013" s="331"/>
      <c r="K1013" s="331"/>
      <c r="L1013" s="331"/>
      <c r="M1013" s="331"/>
      <c r="N1013" s="303"/>
      <c r="O1013" s="304"/>
      <c r="P1013" s="312"/>
      <c r="Q1013" s="312"/>
      <c r="R1013" s="76"/>
      <c r="S1013" s="307"/>
      <c r="T1013" s="301"/>
      <c r="U1013" s="301"/>
      <c r="W1013" s="267"/>
      <c r="X1013" s="240"/>
      <c r="Y1013" s="268"/>
      <c r="Z1013" s="240"/>
      <c r="AA1013" s="241"/>
    </row>
    <row r="1014" spans="1:27" s="322" customFormat="1">
      <c r="A1014" s="312"/>
      <c r="B1014" s="76"/>
      <c r="C1014" s="76"/>
      <c r="D1014" s="330"/>
      <c r="E1014" s="331"/>
      <c r="F1014" s="331"/>
      <c r="G1014" s="331"/>
      <c r="H1014" s="331"/>
      <c r="I1014" s="331"/>
      <c r="J1014" s="331"/>
      <c r="K1014" s="331"/>
      <c r="L1014" s="331"/>
      <c r="M1014" s="331"/>
      <c r="N1014" s="303"/>
      <c r="O1014" s="304"/>
      <c r="P1014" s="312"/>
      <c r="Q1014" s="312"/>
      <c r="R1014" s="76"/>
      <c r="S1014" s="307"/>
      <c r="T1014" s="301"/>
      <c r="U1014" s="301"/>
      <c r="W1014" s="267"/>
      <c r="X1014" s="240"/>
      <c r="Y1014" s="268"/>
      <c r="Z1014" s="240"/>
      <c r="AA1014" s="241"/>
    </row>
    <row r="1015" spans="1:27" s="322" customFormat="1">
      <c r="A1015" s="312"/>
      <c r="B1015" s="76"/>
      <c r="C1015" s="76"/>
      <c r="D1015" s="330"/>
      <c r="E1015" s="331"/>
      <c r="F1015" s="331"/>
      <c r="G1015" s="331"/>
      <c r="H1015" s="331"/>
      <c r="I1015" s="331"/>
      <c r="J1015" s="331"/>
      <c r="K1015" s="331"/>
      <c r="L1015" s="331"/>
      <c r="M1015" s="331"/>
      <c r="N1015" s="303"/>
      <c r="O1015" s="304"/>
      <c r="P1015" s="312"/>
      <c r="Q1015" s="312"/>
      <c r="R1015" s="76"/>
      <c r="S1015" s="307"/>
      <c r="T1015" s="301"/>
      <c r="U1015" s="301"/>
      <c r="W1015" s="267"/>
      <c r="X1015" s="240"/>
      <c r="Y1015" s="268"/>
      <c r="Z1015" s="240"/>
      <c r="AA1015" s="241"/>
    </row>
    <row r="1016" spans="1:27" s="322" customFormat="1">
      <c r="A1016" s="312"/>
      <c r="B1016" s="76"/>
      <c r="C1016" s="76"/>
      <c r="D1016" s="330"/>
      <c r="E1016" s="331"/>
      <c r="F1016" s="331"/>
      <c r="G1016" s="331"/>
      <c r="H1016" s="331"/>
      <c r="I1016" s="331"/>
      <c r="J1016" s="331"/>
      <c r="K1016" s="331"/>
      <c r="L1016" s="331"/>
      <c r="M1016" s="331"/>
      <c r="N1016" s="303"/>
      <c r="O1016" s="304"/>
      <c r="P1016" s="312"/>
      <c r="Q1016" s="312"/>
      <c r="R1016" s="76"/>
      <c r="S1016" s="307"/>
      <c r="T1016" s="301"/>
      <c r="U1016" s="301"/>
      <c r="W1016" s="267"/>
      <c r="X1016" s="240"/>
      <c r="Y1016" s="268"/>
      <c r="Z1016" s="240"/>
      <c r="AA1016" s="241"/>
    </row>
    <row r="1017" spans="1:27" s="322" customFormat="1">
      <c r="A1017" s="312"/>
      <c r="B1017" s="76"/>
      <c r="C1017" s="76"/>
      <c r="D1017" s="330"/>
      <c r="E1017" s="331"/>
      <c r="F1017" s="331"/>
      <c r="G1017" s="331"/>
      <c r="H1017" s="331"/>
      <c r="I1017" s="331"/>
      <c r="J1017" s="331"/>
      <c r="K1017" s="331"/>
      <c r="L1017" s="331"/>
      <c r="M1017" s="331"/>
      <c r="N1017" s="303"/>
      <c r="O1017" s="304"/>
      <c r="P1017" s="312"/>
      <c r="Q1017" s="312"/>
      <c r="R1017" s="76"/>
      <c r="S1017" s="307"/>
      <c r="T1017" s="301"/>
      <c r="U1017" s="301"/>
      <c r="W1017" s="267"/>
      <c r="X1017" s="240"/>
      <c r="Y1017" s="268"/>
      <c r="Z1017" s="240"/>
      <c r="AA1017" s="241"/>
    </row>
    <row r="1018" spans="1:27" s="322" customFormat="1">
      <c r="A1018" s="312"/>
      <c r="B1018" s="76"/>
      <c r="C1018" s="76"/>
      <c r="D1018" s="330"/>
      <c r="E1018" s="331"/>
      <c r="F1018" s="331"/>
      <c r="G1018" s="331"/>
      <c r="H1018" s="331"/>
      <c r="I1018" s="331"/>
      <c r="J1018" s="331"/>
      <c r="K1018" s="331"/>
      <c r="L1018" s="331"/>
      <c r="M1018" s="331"/>
      <c r="N1018" s="303"/>
      <c r="O1018" s="304"/>
      <c r="P1018" s="312"/>
      <c r="Q1018" s="312"/>
      <c r="R1018" s="76"/>
      <c r="S1018" s="307"/>
      <c r="T1018" s="301"/>
      <c r="U1018" s="301"/>
      <c r="W1018" s="267"/>
      <c r="X1018" s="240"/>
      <c r="Y1018" s="268"/>
      <c r="Z1018" s="240"/>
      <c r="AA1018" s="241"/>
    </row>
    <row r="1019" spans="1:27" s="322" customFormat="1">
      <c r="A1019" s="312"/>
      <c r="B1019" s="76"/>
      <c r="C1019" s="76"/>
      <c r="D1019" s="330"/>
      <c r="E1019" s="331"/>
      <c r="F1019" s="331"/>
      <c r="G1019" s="331"/>
      <c r="H1019" s="331"/>
      <c r="I1019" s="331"/>
      <c r="J1019" s="331"/>
      <c r="K1019" s="331"/>
      <c r="L1019" s="331"/>
      <c r="M1019" s="331"/>
      <c r="N1019" s="303"/>
      <c r="O1019" s="304"/>
      <c r="P1019" s="312"/>
      <c r="Q1019" s="312"/>
      <c r="R1019" s="76"/>
      <c r="S1019" s="307"/>
      <c r="T1019" s="301"/>
      <c r="U1019" s="301"/>
      <c r="W1019" s="267"/>
      <c r="X1019" s="240"/>
      <c r="Y1019" s="268"/>
      <c r="Z1019" s="240"/>
      <c r="AA1019" s="241"/>
    </row>
    <row r="1020" spans="1:27" s="322" customFormat="1">
      <c r="A1020" s="312"/>
      <c r="B1020" s="76"/>
      <c r="C1020" s="76"/>
      <c r="D1020" s="330"/>
      <c r="E1020" s="331"/>
      <c r="F1020" s="331"/>
      <c r="G1020" s="331"/>
      <c r="H1020" s="331"/>
      <c r="I1020" s="331"/>
      <c r="J1020" s="331"/>
      <c r="K1020" s="331"/>
      <c r="L1020" s="331"/>
      <c r="M1020" s="331"/>
      <c r="N1020" s="303"/>
      <c r="O1020" s="304"/>
      <c r="P1020" s="312"/>
      <c r="Q1020" s="312"/>
      <c r="R1020" s="76"/>
      <c r="S1020" s="307"/>
      <c r="T1020" s="301"/>
      <c r="U1020" s="301"/>
      <c r="W1020" s="267"/>
      <c r="X1020" s="240"/>
      <c r="Y1020" s="268"/>
      <c r="Z1020" s="240"/>
      <c r="AA1020" s="241"/>
    </row>
    <row r="1021" spans="1:27" s="322" customFormat="1">
      <c r="A1021" s="312"/>
      <c r="B1021" s="76"/>
      <c r="C1021" s="76"/>
      <c r="D1021" s="330"/>
      <c r="E1021" s="331"/>
      <c r="F1021" s="331"/>
      <c r="G1021" s="331"/>
      <c r="H1021" s="331"/>
      <c r="I1021" s="331"/>
      <c r="J1021" s="331"/>
      <c r="K1021" s="331"/>
      <c r="L1021" s="331"/>
      <c r="M1021" s="331"/>
      <c r="N1021" s="303"/>
      <c r="O1021" s="304"/>
      <c r="P1021" s="312"/>
      <c r="Q1021" s="312"/>
      <c r="R1021" s="76"/>
      <c r="S1021" s="307"/>
      <c r="T1021" s="301"/>
      <c r="U1021" s="301"/>
      <c r="W1021" s="267"/>
      <c r="X1021" s="240"/>
      <c r="Y1021" s="268"/>
      <c r="Z1021" s="240"/>
      <c r="AA1021" s="241"/>
    </row>
    <row r="1022" spans="1:27" s="322" customFormat="1">
      <c r="A1022" s="312"/>
      <c r="B1022" s="76"/>
      <c r="C1022" s="76"/>
      <c r="D1022" s="330"/>
      <c r="E1022" s="331"/>
      <c r="F1022" s="331"/>
      <c r="G1022" s="331"/>
      <c r="H1022" s="331"/>
      <c r="I1022" s="331"/>
      <c r="J1022" s="331"/>
      <c r="K1022" s="331"/>
      <c r="L1022" s="331"/>
      <c r="M1022" s="331"/>
      <c r="N1022" s="303"/>
      <c r="O1022" s="304"/>
      <c r="P1022" s="312"/>
      <c r="Q1022" s="312"/>
      <c r="R1022" s="76"/>
      <c r="S1022" s="307"/>
      <c r="T1022" s="301"/>
      <c r="U1022" s="301"/>
      <c r="W1022" s="267"/>
      <c r="X1022" s="240"/>
      <c r="Y1022" s="268"/>
      <c r="Z1022" s="240"/>
      <c r="AA1022" s="241"/>
    </row>
    <row r="1023" spans="1:27" s="322" customFormat="1">
      <c r="A1023" s="312"/>
      <c r="B1023" s="76"/>
      <c r="C1023" s="76"/>
      <c r="D1023" s="330"/>
      <c r="E1023" s="331"/>
      <c r="F1023" s="331"/>
      <c r="G1023" s="331"/>
      <c r="H1023" s="331"/>
      <c r="I1023" s="331"/>
      <c r="J1023" s="331"/>
      <c r="K1023" s="331"/>
      <c r="L1023" s="331"/>
      <c r="M1023" s="331"/>
      <c r="N1023" s="303"/>
      <c r="O1023" s="304"/>
      <c r="P1023" s="312"/>
      <c r="Q1023" s="312"/>
      <c r="R1023" s="76"/>
      <c r="S1023" s="307"/>
      <c r="T1023" s="301"/>
      <c r="U1023" s="301"/>
      <c r="W1023" s="267"/>
      <c r="X1023" s="240"/>
      <c r="Y1023" s="268"/>
      <c r="Z1023" s="240"/>
      <c r="AA1023" s="241"/>
    </row>
    <row r="1024" spans="1:27" s="322" customFormat="1">
      <c r="A1024" s="312"/>
      <c r="B1024" s="76"/>
      <c r="C1024" s="76"/>
      <c r="D1024" s="330"/>
      <c r="E1024" s="331"/>
      <c r="F1024" s="331"/>
      <c r="G1024" s="331"/>
      <c r="H1024" s="331"/>
      <c r="I1024" s="331"/>
      <c r="J1024" s="331"/>
      <c r="K1024" s="331"/>
      <c r="L1024" s="331"/>
      <c r="M1024" s="331"/>
      <c r="N1024" s="303"/>
      <c r="O1024" s="304"/>
      <c r="P1024" s="312"/>
      <c r="Q1024" s="312"/>
      <c r="R1024" s="76"/>
      <c r="S1024" s="307"/>
      <c r="T1024" s="301"/>
      <c r="U1024" s="301"/>
      <c r="W1024" s="267"/>
      <c r="X1024" s="240"/>
      <c r="Y1024" s="268"/>
      <c r="Z1024" s="240"/>
      <c r="AA1024" s="241"/>
    </row>
    <row r="1025" spans="1:27" s="322" customFormat="1">
      <c r="A1025" s="312"/>
      <c r="B1025" s="76"/>
      <c r="C1025" s="76"/>
      <c r="D1025" s="330"/>
      <c r="E1025" s="331"/>
      <c r="F1025" s="331"/>
      <c r="G1025" s="331"/>
      <c r="H1025" s="331"/>
      <c r="I1025" s="331"/>
      <c r="J1025" s="331"/>
      <c r="K1025" s="331"/>
      <c r="L1025" s="331"/>
      <c r="M1025" s="331"/>
      <c r="N1025" s="303"/>
      <c r="O1025" s="304"/>
      <c r="P1025" s="312"/>
      <c r="Q1025" s="312"/>
      <c r="R1025" s="76"/>
      <c r="S1025" s="307"/>
      <c r="T1025" s="301"/>
      <c r="U1025" s="301"/>
      <c r="W1025" s="267"/>
      <c r="X1025" s="240"/>
      <c r="Y1025" s="268"/>
      <c r="Z1025" s="240"/>
      <c r="AA1025" s="241"/>
    </row>
    <row r="1026" spans="1:27" s="322" customFormat="1">
      <c r="A1026" s="312"/>
      <c r="B1026" s="76"/>
      <c r="C1026" s="76"/>
      <c r="D1026" s="330"/>
      <c r="E1026" s="331"/>
      <c r="F1026" s="331"/>
      <c r="G1026" s="331"/>
      <c r="H1026" s="331"/>
      <c r="I1026" s="331"/>
      <c r="J1026" s="331"/>
      <c r="K1026" s="331"/>
      <c r="L1026" s="331"/>
      <c r="M1026" s="331"/>
      <c r="N1026" s="303"/>
      <c r="O1026" s="304"/>
      <c r="P1026" s="312"/>
      <c r="Q1026" s="312"/>
      <c r="R1026" s="76"/>
      <c r="S1026" s="307"/>
      <c r="T1026" s="301"/>
      <c r="U1026" s="301"/>
      <c r="W1026" s="267"/>
      <c r="X1026" s="240"/>
      <c r="Y1026" s="268"/>
      <c r="Z1026" s="240"/>
      <c r="AA1026" s="241"/>
    </row>
    <row r="1027" spans="1:27" s="322" customFormat="1">
      <c r="A1027" s="312"/>
      <c r="B1027" s="76"/>
      <c r="C1027" s="76"/>
      <c r="D1027" s="330"/>
      <c r="E1027" s="331"/>
      <c r="F1027" s="331"/>
      <c r="G1027" s="331"/>
      <c r="H1027" s="331"/>
      <c r="I1027" s="331"/>
      <c r="J1027" s="331"/>
      <c r="K1027" s="331"/>
      <c r="L1027" s="331"/>
      <c r="M1027" s="331"/>
      <c r="N1027" s="303"/>
      <c r="O1027" s="304"/>
      <c r="P1027" s="312"/>
      <c r="Q1027" s="312"/>
      <c r="R1027" s="76"/>
      <c r="S1027" s="307"/>
      <c r="T1027" s="301"/>
      <c r="U1027" s="301"/>
      <c r="W1027" s="267"/>
      <c r="X1027" s="240"/>
      <c r="Y1027" s="268"/>
      <c r="Z1027" s="240"/>
      <c r="AA1027" s="241"/>
    </row>
    <row r="1028" spans="1:27" s="322" customFormat="1">
      <c r="A1028" s="312"/>
      <c r="B1028" s="76"/>
      <c r="C1028" s="76"/>
      <c r="D1028" s="330"/>
      <c r="E1028" s="331"/>
      <c r="F1028" s="331"/>
      <c r="G1028" s="331"/>
      <c r="H1028" s="331"/>
      <c r="I1028" s="331"/>
      <c r="J1028" s="331"/>
      <c r="K1028" s="331"/>
      <c r="L1028" s="331"/>
      <c r="M1028" s="331"/>
      <c r="N1028" s="303"/>
      <c r="O1028" s="304"/>
      <c r="P1028" s="312"/>
      <c r="Q1028" s="312"/>
      <c r="R1028" s="76"/>
      <c r="S1028" s="307"/>
      <c r="T1028" s="301"/>
      <c r="U1028" s="301"/>
      <c r="W1028" s="267"/>
      <c r="X1028" s="240"/>
      <c r="Y1028" s="268"/>
      <c r="Z1028" s="240"/>
      <c r="AA1028" s="241"/>
    </row>
    <row r="1029" spans="1:27" s="322" customFormat="1">
      <c r="A1029" s="312"/>
      <c r="B1029" s="76"/>
      <c r="C1029" s="76"/>
      <c r="D1029" s="330"/>
      <c r="E1029" s="331"/>
      <c r="F1029" s="331"/>
      <c r="G1029" s="331"/>
      <c r="H1029" s="331"/>
      <c r="I1029" s="331"/>
      <c r="J1029" s="331"/>
      <c r="K1029" s="331"/>
      <c r="L1029" s="331"/>
      <c r="M1029" s="331"/>
      <c r="N1029" s="303"/>
      <c r="O1029" s="304"/>
      <c r="P1029" s="312"/>
      <c r="Q1029" s="312"/>
      <c r="R1029" s="76"/>
      <c r="S1029" s="307"/>
      <c r="T1029" s="301"/>
      <c r="U1029" s="301"/>
      <c r="W1029" s="267"/>
      <c r="X1029" s="240"/>
      <c r="Y1029" s="268"/>
      <c r="Z1029" s="240"/>
      <c r="AA1029" s="241"/>
    </row>
    <row r="1030" spans="1:27" s="322" customFormat="1">
      <c r="A1030" s="312"/>
      <c r="B1030" s="76"/>
      <c r="C1030" s="76"/>
      <c r="D1030" s="330"/>
      <c r="E1030" s="331"/>
      <c r="F1030" s="331"/>
      <c r="G1030" s="331"/>
      <c r="H1030" s="331"/>
      <c r="I1030" s="331"/>
      <c r="J1030" s="331"/>
      <c r="K1030" s="331"/>
      <c r="L1030" s="331"/>
      <c r="M1030" s="331"/>
      <c r="N1030" s="303"/>
      <c r="O1030" s="304"/>
      <c r="P1030" s="312"/>
      <c r="Q1030" s="312"/>
      <c r="R1030" s="76"/>
      <c r="S1030" s="307"/>
      <c r="T1030" s="301"/>
      <c r="U1030" s="301"/>
      <c r="W1030" s="267"/>
      <c r="X1030" s="240"/>
      <c r="Y1030" s="268"/>
      <c r="Z1030" s="240"/>
      <c r="AA1030" s="241"/>
    </row>
    <row r="1031" spans="1:27" s="322" customFormat="1">
      <c r="A1031" s="312"/>
      <c r="B1031" s="76"/>
      <c r="C1031" s="76"/>
      <c r="D1031" s="330"/>
      <c r="E1031" s="331"/>
      <c r="F1031" s="331"/>
      <c r="G1031" s="331"/>
      <c r="H1031" s="331"/>
      <c r="I1031" s="331"/>
      <c r="J1031" s="331"/>
      <c r="K1031" s="331"/>
      <c r="L1031" s="331"/>
      <c r="M1031" s="331"/>
      <c r="N1031" s="303"/>
      <c r="O1031" s="304"/>
      <c r="P1031" s="312"/>
      <c r="Q1031" s="312"/>
      <c r="R1031" s="76"/>
      <c r="S1031" s="307"/>
      <c r="T1031" s="301"/>
      <c r="U1031" s="301"/>
      <c r="W1031" s="267"/>
      <c r="X1031" s="240"/>
      <c r="Y1031" s="268"/>
      <c r="Z1031" s="240"/>
      <c r="AA1031" s="241"/>
    </row>
    <row r="1032" spans="1:27" s="322" customFormat="1">
      <c r="A1032" s="312"/>
      <c r="B1032" s="76"/>
      <c r="C1032" s="76"/>
      <c r="D1032" s="330"/>
      <c r="E1032" s="331"/>
      <c r="F1032" s="331"/>
      <c r="G1032" s="331"/>
      <c r="H1032" s="331"/>
      <c r="I1032" s="331"/>
      <c r="J1032" s="331"/>
      <c r="K1032" s="331"/>
      <c r="L1032" s="331"/>
      <c r="M1032" s="331"/>
      <c r="N1032" s="303"/>
      <c r="O1032" s="304"/>
      <c r="P1032" s="312"/>
      <c r="Q1032" s="312"/>
      <c r="R1032" s="76"/>
      <c r="S1032" s="307"/>
      <c r="T1032" s="301"/>
      <c r="U1032" s="301"/>
      <c r="W1032" s="267"/>
      <c r="X1032" s="240"/>
      <c r="Y1032" s="268"/>
      <c r="Z1032" s="240"/>
      <c r="AA1032" s="241"/>
    </row>
    <row r="1033" spans="1:27" s="322" customFormat="1">
      <c r="A1033" s="312"/>
      <c r="B1033" s="76"/>
      <c r="C1033" s="76"/>
      <c r="D1033" s="330"/>
      <c r="E1033" s="331"/>
      <c r="F1033" s="331"/>
      <c r="G1033" s="331"/>
      <c r="H1033" s="331"/>
      <c r="I1033" s="331"/>
      <c r="J1033" s="331"/>
      <c r="K1033" s="331"/>
      <c r="L1033" s="331"/>
      <c r="M1033" s="331"/>
      <c r="N1033" s="303"/>
      <c r="O1033" s="304"/>
      <c r="P1033" s="312"/>
      <c r="Q1033" s="312"/>
      <c r="R1033" s="76"/>
      <c r="S1033" s="307"/>
      <c r="T1033" s="301"/>
      <c r="U1033" s="301"/>
      <c r="W1033" s="267"/>
      <c r="X1033" s="240"/>
      <c r="Y1033" s="268"/>
      <c r="Z1033" s="240"/>
      <c r="AA1033" s="241"/>
    </row>
    <row r="1034" spans="1:27" s="322" customFormat="1">
      <c r="A1034" s="312"/>
      <c r="B1034" s="76"/>
      <c r="C1034" s="76"/>
      <c r="D1034" s="330"/>
      <c r="E1034" s="331"/>
      <c r="F1034" s="331"/>
      <c r="G1034" s="331"/>
      <c r="H1034" s="331"/>
      <c r="I1034" s="331"/>
      <c r="J1034" s="331"/>
      <c r="K1034" s="331"/>
      <c r="L1034" s="331"/>
      <c r="M1034" s="331"/>
      <c r="N1034" s="303"/>
      <c r="O1034" s="304"/>
      <c r="P1034" s="312"/>
      <c r="Q1034" s="312"/>
      <c r="R1034" s="76"/>
      <c r="S1034" s="307"/>
      <c r="T1034" s="301"/>
      <c r="U1034" s="301"/>
      <c r="W1034" s="267"/>
      <c r="X1034" s="240"/>
      <c r="Y1034" s="268"/>
      <c r="Z1034" s="240"/>
      <c r="AA1034" s="241"/>
    </row>
    <row r="1035" spans="1:27" s="322" customFormat="1">
      <c r="A1035" s="312"/>
      <c r="B1035" s="76"/>
      <c r="C1035" s="76"/>
      <c r="D1035" s="330"/>
      <c r="E1035" s="331"/>
      <c r="F1035" s="331"/>
      <c r="G1035" s="331"/>
      <c r="H1035" s="331"/>
      <c r="I1035" s="331"/>
      <c r="J1035" s="331"/>
      <c r="K1035" s="331"/>
      <c r="L1035" s="331"/>
      <c r="M1035" s="331"/>
      <c r="N1035" s="303"/>
      <c r="O1035" s="304"/>
      <c r="P1035" s="312"/>
      <c r="Q1035" s="312"/>
      <c r="R1035" s="76"/>
      <c r="S1035" s="307"/>
      <c r="T1035" s="301"/>
      <c r="U1035" s="301"/>
      <c r="W1035" s="267"/>
      <c r="X1035" s="240"/>
      <c r="Y1035" s="268"/>
      <c r="Z1035" s="240"/>
      <c r="AA1035" s="241"/>
    </row>
    <row r="1036" spans="1:27" s="322" customFormat="1">
      <c r="A1036" s="312"/>
      <c r="B1036" s="76"/>
      <c r="C1036" s="76"/>
      <c r="D1036" s="330"/>
      <c r="E1036" s="331"/>
      <c r="F1036" s="331"/>
      <c r="G1036" s="331"/>
      <c r="H1036" s="331"/>
      <c r="I1036" s="331"/>
      <c r="J1036" s="331"/>
      <c r="K1036" s="331"/>
      <c r="L1036" s="331"/>
      <c r="M1036" s="331"/>
      <c r="N1036" s="303"/>
      <c r="O1036" s="304"/>
      <c r="P1036" s="312"/>
      <c r="Q1036" s="312"/>
      <c r="R1036" s="76"/>
      <c r="S1036" s="307"/>
      <c r="T1036" s="301"/>
      <c r="U1036" s="301"/>
      <c r="W1036" s="267"/>
      <c r="X1036" s="240"/>
      <c r="Y1036" s="268"/>
      <c r="Z1036" s="240"/>
      <c r="AA1036" s="241"/>
    </row>
    <row r="1037" spans="1:27" s="322" customFormat="1">
      <c r="A1037" s="312"/>
      <c r="B1037" s="76"/>
      <c r="C1037" s="76"/>
      <c r="D1037" s="330"/>
      <c r="E1037" s="331"/>
      <c r="F1037" s="331"/>
      <c r="G1037" s="331"/>
      <c r="H1037" s="331"/>
      <c r="I1037" s="331"/>
      <c r="J1037" s="331"/>
      <c r="K1037" s="331"/>
      <c r="L1037" s="331"/>
      <c r="M1037" s="331"/>
      <c r="N1037" s="303"/>
      <c r="O1037" s="304"/>
      <c r="P1037" s="312"/>
      <c r="Q1037" s="314"/>
      <c r="R1037" s="315"/>
      <c r="S1037" s="307"/>
      <c r="T1037" s="301"/>
      <c r="U1037" s="301"/>
      <c r="W1037" s="267"/>
      <c r="X1037" s="240"/>
      <c r="Y1037" s="268"/>
      <c r="Z1037" s="240"/>
      <c r="AA1037" s="241"/>
    </row>
    <row r="1038" spans="1:27" s="322" customFormat="1">
      <c r="A1038" s="312"/>
      <c r="B1038" s="76"/>
      <c r="C1038" s="76"/>
      <c r="D1038" s="330"/>
      <c r="E1038" s="331"/>
      <c r="F1038" s="331"/>
      <c r="G1038" s="331"/>
      <c r="H1038" s="331"/>
      <c r="I1038" s="331"/>
      <c r="J1038" s="331"/>
      <c r="K1038" s="331"/>
      <c r="L1038" s="331"/>
      <c r="M1038" s="331"/>
      <c r="N1038" s="303"/>
      <c r="O1038" s="304"/>
      <c r="P1038" s="312"/>
      <c r="Q1038" s="314"/>
      <c r="R1038" s="315"/>
      <c r="S1038" s="307"/>
      <c r="T1038" s="301"/>
      <c r="U1038" s="301"/>
      <c r="W1038" s="267"/>
      <c r="X1038" s="240"/>
      <c r="Y1038" s="268"/>
      <c r="Z1038" s="240"/>
      <c r="AA1038" s="241"/>
    </row>
    <row r="1039" spans="1:27" s="322" customFormat="1">
      <c r="A1039" s="312"/>
      <c r="B1039" s="76"/>
      <c r="C1039" s="76"/>
      <c r="D1039" s="330"/>
      <c r="E1039" s="331"/>
      <c r="F1039" s="331"/>
      <c r="G1039" s="331"/>
      <c r="H1039" s="331"/>
      <c r="I1039" s="331"/>
      <c r="J1039" s="331"/>
      <c r="K1039" s="331"/>
      <c r="L1039" s="331"/>
      <c r="M1039" s="331"/>
      <c r="N1039" s="303"/>
      <c r="O1039" s="304"/>
      <c r="P1039" s="312"/>
      <c r="Q1039" s="314"/>
      <c r="R1039" s="315"/>
      <c r="S1039" s="307"/>
      <c r="T1039" s="301"/>
      <c r="U1039" s="301"/>
      <c r="W1039" s="267"/>
      <c r="X1039" s="240"/>
      <c r="Y1039" s="268"/>
      <c r="Z1039" s="240"/>
      <c r="AA1039" s="241"/>
    </row>
    <row r="1040" spans="1:27" s="322" customFormat="1">
      <c r="A1040" s="312"/>
      <c r="B1040" s="76"/>
      <c r="C1040" s="76"/>
      <c r="D1040" s="330"/>
      <c r="E1040" s="331"/>
      <c r="F1040" s="331"/>
      <c r="G1040" s="331"/>
      <c r="H1040" s="331"/>
      <c r="I1040" s="331"/>
      <c r="J1040" s="331"/>
      <c r="K1040" s="331"/>
      <c r="L1040" s="331"/>
      <c r="M1040" s="331"/>
      <c r="N1040" s="303"/>
      <c r="O1040" s="304"/>
      <c r="P1040" s="312"/>
      <c r="Q1040" s="314"/>
      <c r="R1040" s="315"/>
      <c r="S1040" s="307"/>
      <c r="T1040" s="301"/>
      <c r="U1040" s="301"/>
      <c r="W1040" s="267"/>
      <c r="X1040" s="240"/>
      <c r="Y1040" s="268"/>
      <c r="Z1040" s="240"/>
      <c r="AA1040" s="241"/>
    </row>
    <row r="1041" spans="1:27" s="322" customFormat="1">
      <c r="A1041" s="312"/>
      <c r="B1041" s="76"/>
      <c r="C1041" s="76"/>
      <c r="D1041" s="330"/>
      <c r="E1041" s="331"/>
      <c r="F1041" s="331"/>
      <c r="G1041" s="331"/>
      <c r="H1041" s="331"/>
      <c r="I1041" s="331"/>
      <c r="J1041" s="331"/>
      <c r="K1041" s="331"/>
      <c r="L1041" s="331"/>
      <c r="M1041" s="331"/>
      <c r="N1041" s="303"/>
      <c r="O1041" s="304"/>
      <c r="P1041" s="312"/>
      <c r="Q1041" s="314"/>
      <c r="R1041" s="315"/>
      <c r="S1041" s="307"/>
      <c r="T1041" s="301"/>
      <c r="U1041" s="301"/>
      <c r="W1041" s="267"/>
      <c r="X1041" s="240"/>
      <c r="Y1041" s="268"/>
      <c r="Z1041" s="240"/>
      <c r="AA1041" s="241"/>
    </row>
    <row r="1042" spans="1:27" s="322" customFormat="1">
      <c r="A1042" s="312"/>
      <c r="B1042" s="76"/>
      <c r="C1042" s="76"/>
      <c r="D1042" s="330"/>
      <c r="E1042" s="331"/>
      <c r="F1042" s="331"/>
      <c r="G1042" s="331"/>
      <c r="H1042" s="331"/>
      <c r="I1042" s="331"/>
      <c r="J1042" s="331"/>
      <c r="K1042" s="331"/>
      <c r="L1042" s="331"/>
      <c r="M1042" s="331"/>
      <c r="N1042" s="303"/>
      <c r="O1042" s="304"/>
      <c r="P1042" s="312"/>
      <c r="Q1042" s="314"/>
      <c r="R1042" s="315"/>
      <c r="S1042" s="307"/>
      <c r="T1042" s="301"/>
      <c r="U1042" s="301"/>
      <c r="W1042" s="267"/>
      <c r="X1042" s="240"/>
      <c r="Y1042" s="268"/>
      <c r="Z1042" s="240"/>
      <c r="AA1042" s="241"/>
    </row>
    <row r="1043" spans="1:27" s="322" customFormat="1">
      <c r="A1043" s="312"/>
      <c r="B1043" s="76"/>
      <c r="C1043" s="76"/>
      <c r="D1043" s="330"/>
      <c r="E1043" s="331"/>
      <c r="F1043" s="331"/>
      <c r="G1043" s="331"/>
      <c r="H1043" s="331"/>
      <c r="I1043" s="331"/>
      <c r="J1043" s="331"/>
      <c r="K1043" s="331"/>
      <c r="L1043" s="331"/>
      <c r="M1043" s="331"/>
      <c r="N1043" s="303"/>
      <c r="O1043" s="304"/>
      <c r="P1043" s="312"/>
      <c r="Q1043" s="314"/>
      <c r="R1043" s="315"/>
      <c r="S1043" s="307"/>
      <c r="T1043" s="301"/>
      <c r="U1043" s="301"/>
      <c r="W1043" s="267"/>
      <c r="X1043" s="240"/>
      <c r="Y1043" s="268"/>
      <c r="Z1043" s="240"/>
      <c r="AA1043" s="241"/>
    </row>
    <row r="1044" spans="1:27" s="322" customFormat="1">
      <c r="A1044" s="312"/>
      <c r="B1044" s="76"/>
      <c r="C1044" s="76"/>
      <c r="D1044" s="330"/>
      <c r="E1044" s="331"/>
      <c r="F1044" s="331"/>
      <c r="G1044" s="331"/>
      <c r="H1044" s="331"/>
      <c r="I1044" s="331"/>
      <c r="J1044" s="331"/>
      <c r="K1044" s="331"/>
      <c r="L1044" s="331"/>
      <c r="M1044" s="331"/>
      <c r="N1044" s="303"/>
      <c r="O1044" s="304"/>
      <c r="P1044" s="312"/>
      <c r="Q1044" s="314"/>
      <c r="R1044" s="315"/>
      <c r="S1044" s="307"/>
      <c r="T1044" s="301"/>
      <c r="U1044" s="301"/>
      <c r="W1044" s="267"/>
      <c r="X1044" s="240"/>
      <c r="Y1044" s="268"/>
      <c r="Z1044" s="240"/>
      <c r="AA1044" s="241"/>
    </row>
    <row r="1045" spans="1:27" s="322" customFormat="1">
      <c r="A1045" s="312"/>
      <c r="B1045" s="76"/>
      <c r="C1045" s="76"/>
      <c r="D1045" s="330"/>
      <c r="E1045" s="331"/>
      <c r="F1045" s="331"/>
      <c r="G1045" s="331"/>
      <c r="H1045" s="331"/>
      <c r="I1045" s="331"/>
      <c r="J1045" s="331"/>
      <c r="K1045" s="331"/>
      <c r="L1045" s="331"/>
      <c r="M1045" s="331"/>
      <c r="N1045" s="303"/>
      <c r="O1045" s="304"/>
      <c r="P1045" s="312"/>
      <c r="Q1045" s="314"/>
      <c r="R1045" s="315"/>
      <c r="S1045" s="307"/>
      <c r="T1045" s="301"/>
      <c r="U1045" s="301"/>
      <c r="W1045" s="267"/>
      <c r="X1045" s="240"/>
      <c r="Y1045" s="268"/>
      <c r="Z1045" s="240"/>
      <c r="AA1045" s="241"/>
    </row>
    <row r="1046" spans="1:27" s="322" customFormat="1">
      <c r="A1046" s="312"/>
      <c r="B1046" s="76"/>
      <c r="C1046" s="76"/>
      <c r="D1046" s="330"/>
      <c r="E1046" s="331"/>
      <c r="F1046" s="331"/>
      <c r="G1046" s="331"/>
      <c r="H1046" s="331"/>
      <c r="I1046" s="331"/>
      <c r="J1046" s="331"/>
      <c r="K1046" s="331"/>
      <c r="L1046" s="331"/>
      <c r="M1046" s="331"/>
      <c r="N1046" s="303"/>
      <c r="O1046" s="304"/>
      <c r="P1046" s="312"/>
      <c r="Q1046" s="314"/>
      <c r="R1046" s="315"/>
      <c r="S1046" s="307"/>
      <c r="T1046" s="301"/>
      <c r="U1046" s="301"/>
      <c r="W1046" s="267"/>
      <c r="X1046" s="240"/>
      <c r="Y1046" s="268"/>
      <c r="Z1046" s="240"/>
      <c r="AA1046" s="241"/>
    </row>
    <row r="1047" spans="1:27" s="322" customFormat="1">
      <c r="A1047" s="312"/>
      <c r="B1047" s="76"/>
      <c r="C1047" s="76"/>
      <c r="D1047" s="330"/>
      <c r="E1047" s="331"/>
      <c r="F1047" s="331"/>
      <c r="G1047" s="331"/>
      <c r="H1047" s="331"/>
      <c r="I1047" s="331"/>
      <c r="J1047" s="331"/>
      <c r="K1047" s="331"/>
      <c r="L1047" s="331"/>
      <c r="M1047" s="331"/>
      <c r="N1047" s="303"/>
      <c r="O1047" s="304"/>
      <c r="P1047" s="312"/>
      <c r="Q1047" s="314"/>
      <c r="R1047" s="315"/>
      <c r="S1047" s="307"/>
      <c r="T1047" s="301"/>
      <c r="U1047" s="301"/>
      <c r="W1047" s="267"/>
      <c r="X1047" s="240"/>
      <c r="Y1047" s="268"/>
      <c r="Z1047" s="240"/>
      <c r="AA1047" s="241"/>
    </row>
    <row r="1048" spans="1:27" s="322" customFormat="1">
      <c r="A1048" s="312"/>
      <c r="B1048" s="76"/>
      <c r="C1048" s="76"/>
      <c r="D1048" s="330"/>
      <c r="E1048" s="331"/>
      <c r="F1048" s="331"/>
      <c r="G1048" s="331"/>
      <c r="H1048" s="331"/>
      <c r="I1048" s="331"/>
      <c r="J1048" s="331"/>
      <c r="K1048" s="331"/>
      <c r="L1048" s="331"/>
      <c r="M1048" s="331"/>
      <c r="N1048" s="303"/>
      <c r="O1048" s="304"/>
      <c r="P1048" s="312"/>
      <c r="Q1048" s="314"/>
      <c r="R1048" s="315"/>
      <c r="S1048" s="307"/>
      <c r="T1048" s="301"/>
      <c r="U1048" s="301"/>
      <c r="W1048" s="267"/>
      <c r="X1048" s="240"/>
      <c r="Y1048" s="268"/>
      <c r="Z1048" s="240"/>
      <c r="AA1048" s="241"/>
    </row>
    <row r="1049" spans="1:27" s="322" customFormat="1">
      <c r="A1049" s="312"/>
      <c r="B1049" s="76"/>
      <c r="C1049" s="76"/>
      <c r="D1049" s="330"/>
      <c r="E1049" s="331"/>
      <c r="F1049" s="331"/>
      <c r="G1049" s="331"/>
      <c r="H1049" s="331"/>
      <c r="I1049" s="331"/>
      <c r="J1049" s="331"/>
      <c r="K1049" s="331"/>
      <c r="L1049" s="331"/>
      <c r="M1049" s="331"/>
      <c r="N1049" s="303"/>
      <c r="O1049" s="304"/>
      <c r="P1049" s="312"/>
      <c r="Q1049" s="314"/>
      <c r="R1049" s="315"/>
      <c r="S1049" s="307"/>
      <c r="T1049" s="301"/>
      <c r="U1049" s="301"/>
      <c r="W1049" s="267"/>
      <c r="X1049" s="240"/>
      <c r="Y1049" s="268"/>
      <c r="Z1049" s="240"/>
      <c r="AA1049" s="241"/>
    </row>
    <row r="1050" spans="1:27" s="322" customFormat="1">
      <c r="A1050" s="312"/>
      <c r="B1050" s="76"/>
      <c r="C1050" s="76"/>
      <c r="D1050" s="330"/>
      <c r="E1050" s="331"/>
      <c r="F1050" s="331"/>
      <c r="G1050" s="331"/>
      <c r="H1050" s="331"/>
      <c r="I1050" s="331"/>
      <c r="J1050" s="331"/>
      <c r="K1050" s="331"/>
      <c r="L1050" s="331"/>
      <c r="M1050" s="331"/>
      <c r="N1050" s="303"/>
      <c r="O1050" s="304"/>
      <c r="P1050" s="312"/>
      <c r="Q1050" s="314"/>
      <c r="R1050" s="315"/>
      <c r="S1050" s="307"/>
      <c r="T1050" s="301"/>
      <c r="U1050" s="301"/>
      <c r="W1050" s="267"/>
      <c r="X1050" s="240"/>
      <c r="Y1050" s="268"/>
      <c r="Z1050" s="240"/>
      <c r="AA1050" s="241"/>
    </row>
    <row r="1051" spans="1:27" s="322" customFormat="1">
      <c r="A1051" s="312"/>
      <c r="B1051" s="76"/>
      <c r="C1051" s="76"/>
      <c r="D1051" s="330"/>
      <c r="E1051" s="331"/>
      <c r="F1051" s="331"/>
      <c r="G1051" s="331"/>
      <c r="H1051" s="331"/>
      <c r="I1051" s="331"/>
      <c r="J1051" s="331"/>
      <c r="K1051" s="331"/>
      <c r="L1051" s="331"/>
      <c r="M1051" s="331"/>
      <c r="N1051" s="303"/>
      <c r="O1051" s="304"/>
      <c r="P1051" s="312"/>
      <c r="Q1051" s="314"/>
      <c r="R1051" s="315"/>
      <c r="S1051" s="307"/>
      <c r="T1051" s="301"/>
      <c r="U1051" s="301"/>
      <c r="W1051" s="267"/>
      <c r="X1051" s="240"/>
      <c r="Y1051" s="268"/>
      <c r="Z1051" s="240"/>
      <c r="AA1051" s="241"/>
    </row>
    <row r="1052" spans="1:27" s="322" customFormat="1">
      <c r="A1052" s="312"/>
      <c r="B1052" s="76"/>
      <c r="C1052" s="76"/>
      <c r="D1052" s="330"/>
      <c r="E1052" s="331"/>
      <c r="F1052" s="331"/>
      <c r="G1052" s="331"/>
      <c r="H1052" s="331"/>
      <c r="I1052" s="331"/>
      <c r="J1052" s="331"/>
      <c r="K1052" s="331"/>
      <c r="L1052" s="331"/>
      <c r="M1052" s="331"/>
      <c r="N1052" s="303"/>
      <c r="O1052" s="304"/>
      <c r="P1052" s="312"/>
      <c r="Q1052" s="314"/>
      <c r="R1052" s="315"/>
      <c r="S1052" s="307"/>
      <c r="T1052" s="301"/>
      <c r="U1052" s="301"/>
      <c r="W1052" s="267"/>
      <c r="X1052" s="240"/>
      <c r="Y1052" s="268"/>
      <c r="Z1052" s="240"/>
      <c r="AA1052" s="241"/>
    </row>
    <row r="1053" spans="1:27" s="322" customFormat="1">
      <c r="A1053" s="312"/>
      <c r="B1053" s="76"/>
      <c r="C1053" s="76"/>
      <c r="D1053" s="330"/>
      <c r="E1053" s="331"/>
      <c r="F1053" s="331"/>
      <c r="G1053" s="331"/>
      <c r="H1053" s="331"/>
      <c r="I1053" s="331"/>
      <c r="J1053" s="331"/>
      <c r="K1053" s="331"/>
      <c r="L1053" s="331"/>
      <c r="M1053" s="331"/>
      <c r="N1053" s="303"/>
      <c r="O1053" s="304"/>
      <c r="P1053" s="312"/>
      <c r="Q1053" s="312"/>
      <c r="R1053" s="76"/>
      <c r="S1053" s="307"/>
      <c r="T1053" s="301"/>
      <c r="U1053" s="301"/>
      <c r="W1053" s="267"/>
      <c r="X1053" s="240"/>
      <c r="Y1053" s="268"/>
      <c r="Z1053" s="240"/>
      <c r="AA1053" s="241"/>
    </row>
    <row r="1054" spans="1:27" s="322" customFormat="1">
      <c r="A1054" s="312"/>
      <c r="B1054" s="76"/>
      <c r="C1054" s="76"/>
      <c r="D1054" s="330"/>
      <c r="E1054" s="331"/>
      <c r="F1054" s="331"/>
      <c r="G1054" s="331"/>
      <c r="H1054" s="331"/>
      <c r="I1054" s="331"/>
      <c r="J1054" s="331"/>
      <c r="K1054" s="331"/>
      <c r="L1054" s="331"/>
      <c r="M1054" s="331"/>
      <c r="N1054" s="303"/>
      <c r="O1054" s="304"/>
      <c r="P1054" s="312"/>
      <c r="Q1054" s="312"/>
      <c r="R1054" s="76"/>
      <c r="S1054" s="307"/>
      <c r="T1054" s="301"/>
      <c r="U1054" s="301"/>
      <c r="W1054" s="267"/>
      <c r="X1054" s="240"/>
      <c r="Y1054" s="268"/>
      <c r="Z1054" s="240"/>
      <c r="AA1054" s="241"/>
    </row>
    <row r="1055" spans="1:27" s="322" customFormat="1">
      <c r="A1055" s="312"/>
      <c r="B1055" s="76"/>
      <c r="C1055" s="76"/>
      <c r="D1055" s="330"/>
      <c r="E1055" s="331"/>
      <c r="F1055" s="331"/>
      <c r="G1055" s="331"/>
      <c r="H1055" s="331"/>
      <c r="I1055" s="331"/>
      <c r="J1055" s="331"/>
      <c r="K1055" s="331"/>
      <c r="L1055" s="331"/>
      <c r="M1055" s="331"/>
      <c r="N1055" s="303"/>
      <c r="O1055" s="304"/>
      <c r="P1055" s="312"/>
      <c r="Q1055" s="312"/>
      <c r="R1055" s="76"/>
      <c r="S1055" s="307"/>
      <c r="T1055" s="301"/>
      <c r="U1055" s="301"/>
      <c r="W1055" s="267"/>
      <c r="X1055" s="240"/>
      <c r="Y1055" s="268"/>
      <c r="Z1055" s="240"/>
      <c r="AA1055" s="241"/>
    </row>
    <row r="1056" spans="1:27" s="322" customFormat="1">
      <c r="A1056" s="312"/>
      <c r="B1056" s="76"/>
      <c r="C1056" s="76"/>
      <c r="D1056" s="330"/>
      <c r="E1056" s="331"/>
      <c r="F1056" s="331"/>
      <c r="G1056" s="331"/>
      <c r="H1056" s="331"/>
      <c r="I1056" s="331"/>
      <c r="J1056" s="331"/>
      <c r="K1056" s="331"/>
      <c r="L1056" s="331"/>
      <c r="M1056" s="331"/>
      <c r="N1056" s="303"/>
      <c r="O1056" s="304"/>
      <c r="P1056" s="312"/>
      <c r="Q1056" s="312"/>
      <c r="R1056" s="76"/>
      <c r="S1056" s="307"/>
      <c r="T1056" s="301"/>
      <c r="U1056" s="301"/>
      <c r="W1056" s="267"/>
      <c r="X1056" s="240"/>
      <c r="Y1056" s="268"/>
      <c r="Z1056" s="240"/>
      <c r="AA1056" s="241"/>
    </row>
    <row r="1057" spans="1:27" s="322" customFormat="1">
      <c r="A1057" s="312"/>
      <c r="B1057" s="76"/>
      <c r="C1057" s="76"/>
      <c r="D1057" s="330"/>
      <c r="E1057" s="331"/>
      <c r="F1057" s="331"/>
      <c r="G1057" s="331"/>
      <c r="H1057" s="331"/>
      <c r="I1057" s="331"/>
      <c r="J1057" s="331"/>
      <c r="K1057" s="331"/>
      <c r="L1057" s="331"/>
      <c r="M1057" s="331"/>
      <c r="N1057" s="303"/>
      <c r="O1057" s="304"/>
      <c r="P1057" s="312"/>
      <c r="Q1057" s="312"/>
      <c r="R1057" s="76"/>
      <c r="S1057" s="307"/>
      <c r="T1057" s="301"/>
      <c r="U1057" s="301"/>
      <c r="W1057" s="267"/>
      <c r="X1057" s="240"/>
      <c r="Y1057" s="268"/>
      <c r="Z1057" s="240"/>
      <c r="AA1057" s="241"/>
    </row>
    <row r="1058" spans="1:27" s="322" customFormat="1">
      <c r="A1058" s="312"/>
      <c r="B1058" s="76"/>
      <c r="C1058" s="76"/>
      <c r="D1058" s="330"/>
      <c r="E1058" s="331"/>
      <c r="F1058" s="331"/>
      <c r="G1058" s="331"/>
      <c r="H1058" s="331"/>
      <c r="I1058" s="331"/>
      <c r="J1058" s="331"/>
      <c r="K1058" s="331"/>
      <c r="L1058" s="331"/>
      <c r="M1058" s="331"/>
      <c r="N1058" s="303"/>
      <c r="O1058" s="304"/>
      <c r="P1058" s="312"/>
      <c r="Q1058" s="312"/>
      <c r="R1058" s="76"/>
      <c r="S1058" s="307"/>
      <c r="T1058" s="301"/>
      <c r="U1058" s="301"/>
      <c r="W1058" s="267"/>
      <c r="X1058" s="240"/>
      <c r="Y1058" s="268"/>
      <c r="Z1058" s="240"/>
      <c r="AA1058" s="241"/>
    </row>
    <row r="1059" spans="1:27" s="322" customFormat="1">
      <c r="A1059" s="312"/>
      <c r="B1059" s="76"/>
      <c r="C1059" s="76"/>
      <c r="D1059" s="330"/>
      <c r="E1059" s="331"/>
      <c r="F1059" s="331"/>
      <c r="G1059" s="331"/>
      <c r="H1059" s="331"/>
      <c r="I1059" s="331"/>
      <c r="J1059" s="331"/>
      <c r="K1059" s="331"/>
      <c r="L1059" s="331"/>
      <c r="M1059" s="331"/>
      <c r="N1059" s="303"/>
      <c r="O1059" s="304"/>
      <c r="P1059" s="312"/>
      <c r="Q1059" s="312"/>
      <c r="R1059" s="76"/>
      <c r="S1059" s="307"/>
      <c r="T1059" s="301"/>
      <c r="U1059" s="301"/>
      <c r="W1059" s="267"/>
      <c r="X1059" s="240"/>
      <c r="Y1059" s="268"/>
      <c r="Z1059" s="240"/>
      <c r="AA1059" s="241"/>
    </row>
    <row r="1060" spans="1:27" s="322" customFormat="1">
      <c r="A1060" s="312"/>
      <c r="B1060" s="76"/>
      <c r="C1060" s="76"/>
      <c r="D1060" s="330"/>
      <c r="E1060" s="331"/>
      <c r="F1060" s="331"/>
      <c r="G1060" s="331"/>
      <c r="H1060" s="331"/>
      <c r="I1060" s="331"/>
      <c r="J1060" s="331"/>
      <c r="K1060" s="331"/>
      <c r="L1060" s="331"/>
      <c r="M1060" s="331"/>
      <c r="N1060" s="303"/>
      <c r="O1060" s="304"/>
      <c r="P1060" s="312"/>
      <c r="Q1060" s="312"/>
      <c r="R1060" s="76"/>
      <c r="S1060" s="307"/>
      <c r="T1060" s="301"/>
      <c r="U1060" s="301"/>
      <c r="W1060" s="267"/>
      <c r="X1060" s="240"/>
      <c r="Y1060" s="268"/>
      <c r="Z1060" s="240"/>
      <c r="AA1060" s="241"/>
    </row>
    <row r="1061" spans="1:27" s="322" customFormat="1">
      <c r="A1061" s="312"/>
      <c r="B1061" s="76"/>
      <c r="C1061" s="76"/>
      <c r="D1061" s="330"/>
      <c r="E1061" s="331"/>
      <c r="F1061" s="331"/>
      <c r="G1061" s="331"/>
      <c r="H1061" s="331"/>
      <c r="I1061" s="331"/>
      <c r="J1061" s="331"/>
      <c r="K1061" s="331"/>
      <c r="L1061" s="331"/>
      <c r="M1061" s="331"/>
      <c r="N1061" s="303"/>
      <c r="O1061" s="304"/>
      <c r="P1061" s="312"/>
      <c r="Q1061" s="312"/>
      <c r="R1061" s="76"/>
      <c r="S1061" s="307"/>
      <c r="T1061" s="301"/>
      <c r="U1061" s="301"/>
      <c r="W1061" s="267"/>
      <c r="X1061" s="240"/>
      <c r="Y1061" s="268"/>
      <c r="Z1061" s="240"/>
      <c r="AA1061" s="241"/>
    </row>
    <row r="1062" spans="1:27" s="322" customFormat="1">
      <c r="A1062" s="312"/>
      <c r="B1062" s="76"/>
      <c r="C1062" s="76"/>
      <c r="D1062" s="330"/>
      <c r="E1062" s="331"/>
      <c r="F1062" s="331"/>
      <c r="G1062" s="331"/>
      <c r="H1062" s="331"/>
      <c r="I1062" s="331"/>
      <c r="J1062" s="331"/>
      <c r="K1062" s="331"/>
      <c r="L1062" s="331"/>
      <c r="M1062" s="331"/>
      <c r="N1062" s="303"/>
      <c r="O1062" s="304"/>
      <c r="P1062" s="312"/>
      <c r="Q1062" s="312"/>
      <c r="R1062" s="76"/>
      <c r="S1062" s="307"/>
      <c r="T1062" s="301"/>
      <c r="U1062" s="301"/>
      <c r="W1062" s="267"/>
      <c r="X1062" s="240"/>
      <c r="Y1062" s="268"/>
      <c r="Z1062" s="240"/>
      <c r="AA1062" s="241"/>
    </row>
    <row r="1063" spans="1:27" s="322" customFormat="1">
      <c r="A1063" s="312"/>
      <c r="B1063" s="76"/>
      <c r="C1063" s="76"/>
      <c r="D1063" s="330"/>
      <c r="E1063" s="331"/>
      <c r="F1063" s="331"/>
      <c r="G1063" s="331"/>
      <c r="H1063" s="331"/>
      <c r="I1063" s="331"/>
      <c r="J1063" s="331"/>
      <c r="K1063" s="331"/>
      <c r="L1063" s="331"/>
      <c r="M1063" s="331"/>
      <c r="N1063" s="303"/>
      <c r="O1063" s="304"/>
      <c r="P1063" s="312"/>
      <c r="Q1063" s="312"/>
      <c r="R1063" s="76"/>
      <c r="S1063" s="307"/>
      <c r="T1063" s="301"/>
      <c r="U1063" s="301"/>
      <c r="W1063" s="267"/>
      <c r="X1063" s="240"/>
      <c r="Y1063" s="268"/>
      <c r="Z1063" s="240"/>
      <c r="AA1063" s="241"/>
    </row>
    <row r="1064" spans="1:27" s="322" customFormat="1">
      <c r="A1064" s="312"/>
      <c r="B1064" s="76"/>
      <c r="C1064" s="76"/>
      <c r="D1064" s="330"/>
      <c r="E1064" s="331"/>
      <c r="F1064" s="331"/>
      <c r="G1064" s="331"/>
      <c r="H1064" s="331"/>
      <c r="I1064" s="331"/>
      <c r="J1064" s="331"/>
      <c r="K1064" s="331"/>
      <c r="L1064" s="331"/>
      <c r="M1064" s="331"/>
      <c r="N1064" s="303"/>
      <c r="O1064" s="304"/>
      <c r="P1064" s="312"/>
      <c r="Q1064" s="312"/>
      <c r="R1064" s="76"/>
      <c r="S1064" s="307"/>
      <c r="T1064" s="301"/>
      <c r="U1064" s="301"/>
      <c r="W1064" s="267"/>
      <c r="X1064" s="240"/>
      <c r="Y1064" s="268"/>
      <c r="Z1064" s="240"/>
      <c r="AA1064" s="241"/>
    </row>
    <row r="1065" spans="1:27" s="322" customFormat="1">
      <c r="A1065" s="312"/>
      <c r="B1065" s="76"/>
      <c r="C1065" s="76"/>
      <c r="D1065" s="330"/>
      <c r="E1065" s="331"/>
      <c r="F1065" s="331"/>
      <c r="G1065" s="331"/>
      <c r="H1065" s="331"/>
      <c r="I1065" s="331"/>
      <c r="J1065" s="331"/>
      <c r="K1065" s="331"/>
      <c r="L1065" s="331"/>
      <c r="M1065" s="331"/>
      <c r="N1065" s="303"/>
      <c r="O1065" s="304"/>
      <c r="P1065" s="312"/>
      <c r="Q1065" s="312"/>
      <c r="R1065" s="76"/>
      <c r="S1065" s="307"/>
      <c r="T1065" s="301"/>
      <c r="U1065" s="301"/>
      <c r="W1065" s="267"/>
      <c r="X1065" s="240"/>
      <c r="Y1065" s="268"/>
      <c r="Z1065" s="240"/>
      <c r="AA1065" s="241"/>
    </row>
    <row r="1066" spans="1:27" s="322" customFormat="1">
      <c r="A1066" s="312"/>
      <c r="B1066" s="76"/>
      <c r="C1066" s="76"/>
      <c r="D1066" s="330"/>
      <c r="E1066" s="331"/>
      <c r="F1066" s="331"/>
      <c r="G1066" s="331"/>
      <c r="H1066" s="331"/>
      <c r="I1066" s="331"/>
      <c r="J1066" s="331"/>
      <c r="K1066" s="331"/>
      <c r="L1066" s="331"/>
      <c r="M1066" s="331"/>
      <c r="N1066" s="303"/>
      <c r="O1066" s="304"/>
      <c r="P1066" s="312"/>
      <c r="Q1066" s="312"/>
      <c r="R1066" s="76"/>
      <c r="S1066" s="307"/>
      <c r="T1066" s="301"/>
      <c r="U1066" s="301"/>
      <c r="W1066" s="267"/>
      <c r="X1066" s="240"/>
      <c r="Y1066" s="268"/>
      <c r="Z1066" s="240"/>
      <c r="AA1066" s="241"/>
    </row>
    <row r="1067" spans="1:27" s="322" customFormat="1">
      <c r="A1067" s="312"/>
      <c r="B1067" s="76"/>
      <c r="C1067" s="76"/>
      <c r="D1067" s="330"/>
      <c r="E1067" s="331"/>
      <c r="F1067" s="331"/>
      <c r="G1067" s="331"/>
      <c r="H1067" s="331"/>
      <c r="I1067" s="331"/>
      <c r="J1067" s="331"/>
      <c r="K1067" s="331"/>
      <c r="L1067" s="331"/>
      <c r="M1067" s="331"/>
      <c r="N1067" s="303"/>
      <c r="O1067" s="304"/>
      <c r="P1067" s="312"/>
      <c r="Q1067" s="312"/>
      <c r="R1067" s="76"/>
      <c r="S1067" s="307"/>
      <c r="T1067" s="301"/>
      <c r="U1067" s="301"/>
      <c r="W1067" s="267"/>
      <c r="X1067" s="240"/>
      <c r="Y1067" s="268"/>
      <c r="Z1067" s="240"/>
      <c r="AA1067" s="241"/>
    </row>
    <row r="1068" spans="1:27" s="322" customFormat="1">
      <c r="A1068" s="312"/>
      <c r="B1068" s="76"/>
      <c r="C1068" s="76"/>
      <c r="D1068" s="330"/>
      <c r="E1068" s="331"/>
      <c r="F1068" s="331"/>
      <c r="G1068" s="331"/>
      <c r="H1068" s="331"/>
      <c r="I1068" s="331"/>
      <c r="J1068" s="331"/>
      <c r="K1068" s="331"/>
      <c r="L1068" s="331"/>
      <c r="M1068" s="331"/>
      <c r="N1068" s="303"/>
      <c r="O1068" s="304"/>
      <c r="P1068" s="312"/>
      <c r="Q1068" s="312"/>
      <c r="R1068" s="76"/>
      <c r="S1068" s="307"/>
      <c r="T1068" s="301"/>
      <c r="U1068" s="301"/>
      <c r="W1068" s="267"/>
      <c r="X1068" s="240"/>
      <c r="Y1068" s="268"/>
      <c r="Z1068" s="240"/>
      <c r="AA1068" s="241"/>
    </row>
    <row r="1069" spans="1:27" s="322" customFormat="1">
      <c r="A1069" s="312"/>
      <c r="B1069" s="76"/>
      <c r="C1069" s="76"/>
      <c r="D1069" s="330"/>
      <c r="E1069" s="331"/>
      <c r="F1069" s="331"/>
      <c r="G1069" s="331"/>
      <c r="H1069" s="331"/>
      <c r="I1069" s="331"/>
      <c r="J1069" s="331"/>
      <c r="K1069" s="331"/>
      <c r="L1069" s="331"/>
      <c r="M1069" s="331"/>
      <c r="N1069" s="303"/>
      <c r="O1069" s="304"/>
      <c r="P1069" s="312"/>
      <c r="Q1069" s="312"/>
      <c r="R1069" s="76"/>
      <c r="S1069" s="307"/>
      <c r="T1069" s="301"/>
      <c r="U1069" s="301"/>
      <c r="W1069" s="267"/>
      <c r="X1069" s="240"/>
      <c r="Y1069" s="268"/>
      <c r="Z1069" s="240"/>
      <c r="AA1069" s="241"/>
    </row>
    <row r="1070" spans="1:27" s="322" customFormat="1">
      <c r="A1070" s="312"/>
      <c r="B1070" s="76"/>
      <c r="C1070" s="76"/>
      <c r="D1070" s="330"/>
      <c r="E1070" s="331"/>
      <c r="F1070" s="331"/>
      <c r="G1070" s="331"/>
      <c r="H1070" s="331"/>
      <c r="I1070" s="331"/>
      <c r="J1070" s="331"/>
      <c r="K1070" s="331"/>
      <c r="L1070" s="331"/>
      <c r="M1070" s="331"/>
      <c r="N1070" s="303"/>
      <c r="O1070" s="304"/>
      <c r="P1070" s="312"/>
      <c r="Q1070" s="312"/>
      <c r="R1070" s="76"/>
      <c r="S1070" s="307"/>
      <c r="T1070" s="301"/>
      <c r="U1070" s="301"/>
      <c r="W1070" s="267"/>
      <c r="X1070" s="240"/>
      <c r="Y1070" s="268"/>
      <c r="Z1070" s="240"/>
      <c r="AA1070" s="241"/>
    </row>
    <row r="1071" spans="1:27" s="322" customFormat="1">
      <c r="A1071" s="312"/>
      <c r="B1071" s="76"/>
      <c r="C1071" s="76"/>
      <c r="D1071" s="330"/>
      <c r="E1071" s="331"/>
      <c r="F1071" s="331"/>
      <c r="G1071" s="331"/>
      <c r="H1071" s="331"/>
      <c r="I1071" s="331"/>
      <c r="J1071" s="331"/>
      <c r="K1071" s="331"/>
      <c r="L1071" s="331"/>
      <c r="M1071" s="331"/>
      <c r="N1071" s="303"/>
      <c r="O1071" s="304"/>
      <c r="P1071" s="312"/>
      <c r="Q1071" s="312"/>
      <c r="R1071" s="76"/>
      <c r="S1071" s="307"/>
      <c r="T1071" s="301"/>
      <c r="U1071" s="301"/>
      <c r="W1071" s="267"/>
      <c r="X1071" s="240"/>
      <c r="Y1071" s="268"/>
      <c r="Z1071" s="240"/>
      <c r="AA1071" s="241"/>
    </row>
    <row r="1072" spans="1:27" s="322" customFormat="1">
      <c r="A1072" s="312"/>
      <c r="B1072" s="76"/>
      <c r="C1072" s="76"/>
      <c r="D1072" s="330"/>
      <c r="E1072" s="331"/>
      <c r="F1072" s="331"/>
      <c r="G1072" s="331"/>
      <c r="H1072" s="331"/>
      <c r="I1072" s="331"/>
      <c r="J1072" s="331"/>
      <c r="K1072" s="331"/>
      <c r="L1072" s="331"/>
      <c r="M1072" s="331"/>
      <c r="N1072" s="303"/>
      <c r="O1072" s="304"/>
      <c r="P1072" s="312"/>
      <c r="Q1072" s="312"/>
      <c r="R1072" s="76"/>
      <c r="S1072" s="307"/>
      <c r="T1072" s="301"/>
      <c r="U1072" s="301"/>
      <c r="W1072" s="267"/>
      <c r="X1072" s="240"/>
      <c r="Y1072" s="268"/>
      <c r="Z1072" s="240"/>
      <c r="AA1072" s="241"/>
    </row>
    <row r="1073" spans="1:27" s="322" customFormat="1">
      <c r="A1073" s="312"/>
      <c r="B1073" s="76"/>
      <c r="C1073" s="76"/>
      <c r="D1073" s="330"/>
      <c r="E1073" s="331"/>
      <c r="F1073" s="331"/>
      <c r="G1073" s="331"/>
      <c r="H1073" s="331"/>
      <c r="I1073" s="331"/>
      <c r="J1073" s="331"/>
      <c r="K1073" s="331"/>
      <c r="L1073" s="331"/>
      <c r="M1073" s="331"/>
      <c r="N1073" s="303"/>
      <c r="O1073" s="304"/>
      <c r="P1073" s="312"/>
      <c r="Q1073" s="312"/>
      <c r="R1073" s="76"/>
      <c r="S1073" s="307"/>
      <c r="T1073" s="301"/>
      <c r="U1073" s="301"/>
      <c r="W1073" s="267"/>
      <c r="X1073" s="240"/>
      <c r="Y1073" s="268"/>
      <c r="Z1073" s="240"/>
      <c r="AA1073" s="241"/>
    </row>
    <row r="1074" spans="1:27" s="322" customFormat="1">
      <c r="A1074" s="312"/>
      <c r="B1074" s="76"/>
      <c r="C1074" s="76"/>
      <c r="D1074" s="330"/>
      <c r="E1074" s="331"/>
      <c r="F1074" s="331"/>
      <c r="G1074" s="331"/>
      <c r="H1074" s="331"/>
      <c r="I1074" s="331"/>
      <c r="J1074" s="331"/>
      <c r="K1074" s="331"/>
      <c r="L1074" s="331"/>
      <c r="M1074" s="331"/>
      <c r="N1074" s="303"/>
      <c r="O1074" s="304"/>
      <c r="P1074" s="312"/>
      <c r="Q1074" s="312"/>
      <c r="R1074" s="76"/>
      <c r="S1074" s="307"/>
      <c r="T1074" s="301"/>
      <c r="U1074" s="301"/>
      <c r="W1074" s="267"/>
      <c r="X1074" s="240"/>
      <c r="Y1074" s="268"/>
      <c r="Z1074" s="240"/>
      <c r="AA1074" s="241"/>
    </row>
    <row r="1075" spans="1:27" s="322" customFormat="1">
      <c r="A1075" s="312"/>
      <c r="B1075" s="76"/>
      <c r="C1075" s="76"/>
      <c r="D1075" s="330"/>
      <c r="E1075" s="331"/>
      <c r="F1075" s="331"/>
      <c r="G1075" s="331"/>
      <c r="H1075" s="331"/>
      <c r="I1075" s="331"/>
      <c r="J1075" s="331"/>
      <c r="K1075" s="331"/>
      <c r="L1075" s="331"/>
      <c r="M1075" s="331"/>
      <c r="N1075" s="303"/>
      <c r="O1075" s="304"/>
      <c r="P1075" s="312"/>
      <c r="Q1075" s="312"/>
      <c r="R1075" s="76"/>
      <c r="S1075" s="307"/>
      <c r="T1075" s="301"/>
      <c r="U1075" s="301"/>
      <c r="W1075" s="267"/>
      <c r="X1075" s="240"/>
      <c r="Y1075" s="268"/>
      <c r="Z1075" s="240"/>
      <c r="AA1075" s="241"/>
    </row>
    <row r="1076" spans="1:27" s="322" customFormat="1">
      <c r="A1076" s="312"/>
      <c r="B1076" s="76"/>
      <c r="C1076" s="76"/>
      <c r="D1076" s="330"/>
      <c r="E1076" s="331"/>
      <c r="F1076" s="331"/>
      <c r="G1076" s="331"/>
      <c r="H1076" s="331"/>
      <c r="I1076" s="331"/>
      <c r="J1076" s="331"/>
      <c r="K1076" s="331"/>
      <c r="L1076" s="331"/>
      <c r="M1076" s="331"/>
      <c r="N1076" s="303"/>
      <c r="O1076" s="304"/>
      <c r="P1076" s="312"/>
      <c r="Q1076" s="312"/>
      <c r="R1076" s="76"/>
      <c r="S1076" s="307"/>
      <c r="T1076" s="301"/>
      <c r="U1076" s="301"/>
      <c r="W1076" s="267"/>
      <c r="X1076" s="240"/>
      <c r="Y1076" s="268"/>
      <c r="Z1076" s="240"/>
      <c r="AA1076" s="241"/>
    </row>
    <row r="1077" spans="1:27" s="322" customFormat="1">
      <c r="A1077" s="312"/>
      <c r="B1077" s="76"/>
      <c r="C1077" s="76"/>
      <c r="D1077" s="330"/>
      <c r="E1077" s="331"/>
      <c r="F1077" s="331"/>
      <c r="G1077" s="331"/>
      <c r="H1077" s="331"/>
      <c r="I1077" s="331"/>
      <c r="J1077" s="331"/>
      <c r="K1077" s="331"/>
      <c r="L1077" s="331"/>
      <c r="M1077" s="331"/>
      <c r="N1077" s="303"/>
      <c r="O1077" s="304"/>
      <c r="P1077" s="312"/>
      <c r="Q1077" s="312"/>
      <c r="R1077" s="76"/>
      <c r="S1077" s="307"/>
      <c r="T1077" s="301"/>
      <c r="U1077" s="301"/>
      <c r="W1077" s="267"/>
      <c r="X1077" s="240"/>
      <c r="Y1077" s="268"/>
      <c r="Z1077" s="240"/>
      <c r="AA1077" s="241"/>
    </row>
    <row r="1078" spans="1:27" s="322" customFormat="1">
      <c r="A1078" s="312"/>
      <c r="B1078" s="76"/>
      <c r="C1078" s="76"/>
      <c r="D1078" s="330"/>
      <c r="E1078" s="331"/>
      <c r="F1078" s="331"/>
      <c r="G1078" s="331"/>
      <c r="H1078" s="331"/>
      <c r="I1078" s="331"/>
      <c r="J1078" s="331"/>
      <c r="K1078" s="331"/>
      <c r="L1078" s="331"/>
      <c r="M1078" s="331"/>
      <c r="N1078" s="303"/>
      <c r="O1078" s="304"/>
      <c r="P1078" s="312"/>
      <c r="Q1078" s="312"/>
      <c r="R1078" s="76"/>
      <c r="S1078" s="307"/>
      <c r="T1078" s="301"/>
      <c r="U1078" s="301"/>
      <c r="W1078" s="267"/>
      <c r="X1078" s="240"/>
      <c r="Y1078" s="268"/>
      <c r="Z1078" s="240"/>
      <c r="AA1078" s="241"/>
    </row>
    <row r="1079" spans="1:27" s="322" customFormat="1">
      <c r="A1079" s="312"/>
      <c r="B1079" s="76"/>
      <c r="C1079" s="76"/>
      <c r="D1079" s="330"/>
      <c r="E1079" s="331"/>
      <c r="F1079" s="331"/>
      <c r="G1079" s="331"/>
      <c r="H1079" s="331"/>
      <c r="I1079" s="331"/>
      <c r="J1079" s="331"/>
      <c r="K1079" s="331"/>
      <c r="L1079" s="331"/>
      <c r="M1079" s="331"/>
      <c r="N1079" s="303"/>
      <c r="O1079" s="304"/>
      <c r="P1079" s="312"/>
      <c r="Q1079" s="312"/>
      <c r="R1079" s="76"/>
      <c r="S1079" s="307"/>
      <c r="T1079" s="301"/>
      <c r="U1079" s="301"/>
      <c r="W1079" s="267"/>
      <c r="X1079" s="240"/>
      <c r="Y1079" s="268"/>
      <c r="Z1079" s="240"/>
      <c r="AA1079" s="241"/>
    </row>
    <row r="1080" spans="1:27" s="322" customFormat="1">
      <c r="A1080" s="312"/>
      <c r="B1080" s="76"/>
      <c r="C1080" s="76"/>
      <c r="D1080" s="330"/>
      <c r="E1080" s="331"/>
      <c r="F1080" s="331"/>
      <c r="G1080" s="331"/>
      <c r="H1080" s="331"/>
      <c r="I1080" s="331"/>
      <c r="J1080" s="331"/>
      <c r="K1080" s="331"/>
      <c r="L1080" s="331"/>
      <c r="M1080" s="331"/>
      <c r="N1080" s="303"/>
      <c r="O1080" s="304"/>
      <c r="P1080" s="312"/>
      <c r="Q1080" s="312"/>
      <c r="R1080" s="76"/>
      <c r="S1080" s="307"/>
      <c r="T1080" s="301"/>
      <c r="U1080" s="301"/>
      <c r="W1080" s="267"/>
      <c r="X1080" s="240"/>
      <c r="Y1080" s="268"/>
      <c r="Z1080" s="240"/>
      <c r="AA1080" s="241"/>
    </row>
    <row r="1081" spans="1:27" s="322" customFormat="1">
      <c r="A1081" s="312"/>
      <c r="B1081" s="76"/>
      <c r="C1081" s="76"/>
      <c r="D1081" s="330"/>
      <c r="E1081" s="331"/>
      <c r="F1081" s="331"/>
      <c r="G1081" s="331"/>
      <c r="H1081" s="331"/>
      <c r="I1081" s="331"/>
      <c r="J1081" s="331"/>
      <c r="K1081" s="331"/>
      <c r="L1081" s="331"/>
      <c r="M1081" s="331"/>
      <c r="N1081" s="303"/>
      <c r="O1081" s="304"/>
      <c r="P1081" s="312"/>
      <c r="Q1081" s="312"/>
      <c r="R1081" s="76"/>
      <c r="S1081" s="307"/>
      <c r="T1081" s="301"/>
      <c r="U1081" s="301"/>
      <c r="W1081" s="267"/>
      <c r="X1081" s="240"/>
      <c r="Y1081" s="268"/>
      <c r="Z1081" s="240"/>
      <c r="AA1081" s="241"/>
    </row>
    <row r="1082" spans="1:27" s="322" customFormat="1">
      <c r="A1082" s="312"/>
      <c r="B1082" s="76"/>
      <c r="C1082" s="76"/>
      <c r="D1082" s="330"/>
      <c r="E1082" s="331"/>
      <c r="F1082" s="331"/>
      <c r="G1082" s="331"/>
      <c r="H1082" s="331"/>
      <c r="I1082" s="331"/>
      <c r="J1082" s="331"/>
      <c r="K1082" s="331"/>
      <c r="L1082" s="331"/>
      <c r="M1082" s="331"/>
      <c r="N1082" s="303"/>
      <c r="O1082" s="304"/>
      <c r="P1082" s="312"/>
      <c r="Q1082" s="312"/>
      <c r="R1082" s="76"/>
      <c r="S1082" s="307"/>
      <c r="T1082" s="301"/>
      <c r="U1082" s="301"/>
      <c r="W1082" s="267"/>
      <c r="X1082" s="240"/>
      <c r="Y1082" s="268"/>
      <c r="Z1082" s="240"/>
      <c r="AA1082" s="241"/>
    </row>
    <row r="1083" spans="1:27" s="322" customFormat="1">
      <c r="A1083" s="312"/>
      <c r="B1083" s="76"/>
      <c r="C1083" s="76"/>
      <c r="D1083" s="330"/>
      <c r="E1083" s="331"/>
      <c r="F1083" s="331"/>
      <c r="G1083" s="331"/>
      <c r="H1083" s="331"/>
      <c r="I1083" s="331"/>
      <c r="J1083" s="331"/>
      <c r="K1083" s="331"/>
      <c r="L1083" s="331"/>
      <c r="M1083" s="331"/>
      <c r="N1083" s="303"/>
      <c r="O1083" s="304"/>
      <c r="P1083" s="312"/>
      <c r="Q1083" s="312"/>
      <c r="R1083" s="76"/>
      <c r="S1083" s="307"/>
      <c r="T1083" s="301"/>
      <c r="U1083" s="301"/>
      <c r="W1083" s="267"/>
      <c r="X1083" s="240"/>
      <c r="Y1083" s="268"/>
      <c r="Z1083" s="240"/>
      <c r="AA1083" s="241"/>
    </row>
    <row r="1084" spans="1:27" s="322" customFormat="1">
      <c r="A1084" s="312"/>
      <c r="B1084" s="76"/>
      <c r="C1084" s="76"/>
      <c r="D1084" s="330"/>
      <c r="E1084" s="331"/>
      <c r="F1084" s="331"/>
      <c r="G1084" s="331"/>
      <c r="H1084" s="331"/>
      <c r="I1084" s="331"/>
      <c r="J1084" s="331"/>
      <c r="K1084" s="331"/>
      <c r="L1084" s="331"/>
      <c r="M1084" s="331"/>
      <c r="N1084" s="303"/>
      <c r="O1084" s="304"/>
      <c r="P1084" s="312"/>
      <c r="Q1084" s="314"/>
      <c r="R1084" s="315"/>
      <c r="S1084" s="307"/>
      <c r="T1084" s="301"/>
      <c r="U1084" s="301"/>
      <c r="W1084" s="267"/>
      <c r="X1084" s="240"/>
      <c r="Y1084" s="268"/>
      <c r="Z1084" s="240"/>
      <c r="AA1084" s="241"/>
    </row>
    <row r="1085" spans="1:27" s="322" customFormat="1">
      <c r="A1085" s="312"/>
      <c r="B1085" s="76"/>
      <c r="C1085" s="76"/>
      <c r="D1085" s="330"/>
      <c r="E1085" s="331"/>
      <c r="F1085" s="331"/>
      <c r="G1085" s="331"/>
      <c r="H1085" s="331"/>
      <c r="I1085" s="331"/>
      <c r="J1085" s="331"/>
      <c r="K1085" s="331"/>
      <c r="L1085" s="331"/>
      <c r="M1085" s="331"/>
      <c r="N1085" s="303"/>
      <c r="O1085" s="304"/>
      <c r="P1085" s="312"/>
      <c r="Q1085" s="314"/>
      <c r="R1085" s="315"/>
      <c r="S1085" s="307"/>
      <c r="T1085" s="301"/>
      <c r="U1085" s="301"/>
      <c r="W1085" s="267"/>
      <c r="X1085" s="240"/>
      <c r="Y1085" s="268"/>
      <c r="Z1085" s="240"/>
      <c r="AA1085" s="241"/>
    </row>
    <row r="1086" spans="1:27" s="322" customFormat="1">
      <c r="A1086" s="312"/>
      <c r="B1086" s="76"/>
      <c r="C1086" s="76"/>
      <c r="D1086" s="330"/>
      <c r="E1086" s="331"/>
      <c r="F1086" s="331"/>
      <c r="G1086" s="331"/>
      <c r="H1086" s="331"/>
      <c r="I1086" s="331"/>
      <c r="J1086" s="331"/>
      <c r="K1086" s="331"/>
      <c r="L1086" s="331"/>
      <c r="M1086" s="331"/>
      <c r="N1086" s="303"/>
      <c r="O1086" s="304"/>
      <c r="P1086" s="312"/>
      <c r="Q1086" s="314"/>
      <c r="R1086" s="315"/>
      <c r="S1086" s="307"/>
      <c r="T1086" s="301"/>
      <c r="U1086" s="301"/>
      <c r="W1086" s="267"/>
      <c r="X1086" s="240"/>
      <c r="Y1086" s="268"/>
      <c r="Z1086" s="240"/>
      <c r="AA1086" s="241"/>
    </row>
    <row r="1087" spans="1:27" s="322" customFormat="1">
      <c r="A1087" s="312"/>
      <c r="B1087" s="76"/>
      <c r="C1087" s="76"/>
      <c r="D1087" s="330"/>
      <c r="E1087" s="331"/>
      <c r="F1087" s="331"/>
      <c r="G1087" s="331"/>
      <c r="H1087" s="331"/>
      <c r="I1087" s="331"/>
      <c r="J1087" s="331"/>
      <c r="K1087" s="331"/>
      <c r="L1087" s="331"/>
      <c r="M1087" s="331"/>
      <c r="N1087" s="303"/>
      <c r="O1087" s="304"/>
      <c r="P1087" s="312"/>
      <c r="Q1087" s="314"/>
      <c r="R1087" s="315"/>
      <c r="S1087" s="307"/>
      <c r="T1087" s="301"/>
      <c r="U1087" s="301"/>
      <c r="W1087" s="267"/>
      <c r="X1087" s="240"/>
      <c r="Y1087" s="268"/>
      <c r="Z1087" s="240"/>
      <c r="AA1087" s="241"/>
    </row>
    <row r="1088" spans="1:27" s="322" customFormat="1">
      <c r="A1088" s="312"/>
      <c r="B1088" s="76"/>
      <c r="C1088" s="76"/>
      <c r="D1088" s="330"/>
      <c r="E1088" s="331"/>
      <c r="F1088" s="331"/>
      <c r="G1088" s="331"/>
      <c r="H1088" s="331"/>
      <c r="I1088" s="331"/>
      <c r="J1088" s="331"/>
      <c r="K1088" s="331"/>
      <c r="L1088" s="331"/>
      <c r="M1088" s="331"/>
      <c r="N1088" s="303"/>
      <c r="O1088" s="304"/>
      <c r="P1088" s="312"/>
      <c r="Q1088" s="314"/>
      <c r="R1088" s="315"/>
      <c r="S1088" s="307"/>
      <c r="T1088" s="301"/>
      <c r="U1088" s="301"/>
      <c r="W1088" s="267"/>
      <c r="X1088" s="240"/>
      <c r="Y1088" s="268"/>
      <c r="Z1088" s="240"/>
      <c r="AA1088" s="241"/>
    </row>
    <row r="1089" spans="1:27" s="322" customFormat="1">
      <c r="A1089" s="312"/>
      <c r="B1089" s="76"/>
      <c r="C1089" s="76"/>
      <c r="D1089" s="330"/>
      <c r="E1089" s="331"/>
      <c r="F1089" s="331"/>
      <c r="G1089" s="331"/>
      <c r="H1089" s="331"/>
      <c r="I1089" s="331"/>
      <c r="J1089" s="331"/>
      <c r="K1089" s="331"/>
      <c r="L1089" s="331"/>
      <c r="M1089" s="331"/>
      <c r="N1089" s="303"/>
      <c r="O1089" s="304"/>
      <c r="P1089" s="312"/>
      <c r="Q1089" s="314"/>
      <c r="R1089" s="315"/>
      <c r="S1089" s="307"/>
      <c r="T1089" s="301"/>
      <c r="U1089" s="301"/>
      <c r="W1089" s="267"/>
      <c r="X1089" s="240"/>
      <c r="Y1089" s="268"/>
      <c r="Z1089" s="240"/>
      <c r="AA1089" s="241"/>
    </row>
    <row r="1090" spans="1:27" s="322" customFormat="1">
      <c r="A1090" s="312"/>
      <c r="B1090" s="76"/>
      <c r="C1090" s="76"/>
      <c r="D1090" s="330"/>
      <c r="E1090" s="331"/>
      <c r="F1090" s="331"/>
      <c r="G1090" s="331"/>
      <c r="H1090" s="331"/>
      <c r="I1090" s="331"/>
      <c r="J1090" s="331"/>
      <c r="K1090" s="331"/>
      <c r="L1090" s="331"/>
      <c r="M1090" s="331"/>
      <c r="N1090" s="303"/>
      <c r="O1090" s="304"/>
      <c r="P1090" s="312"/>
      <c r="Q1090" s="314"/>
      <c r="R1090" s="315"/>
      <c r="S1090" s="307"/>
      <c r="T1090" s="301"/>
      <c r="U1090" s="301"/>
      <c r="W1090" s="267"/>
      <c r="X1090" s="240"/>
      <c r="Y1090" s="268"/>
      <c r="Z1090" s="240"/>
      <c r="AA1090" s="241"/>
    </row>
    <row r="1091" spans="1:27" s="322" customFormat="1">
      <c r="A1091" s="312"/>
      <c r="B1091" s="76"/>
      <c r="C1091" s="76"/>
      <c r="D1091" s="330"/>
      <c r="E1091" s="331"/>
      <c r="F1091" s="331"/>
      <c r="G1091" s="331"/>
      <c r="H1091" s="331"/>
      <c r="I1091" s="331"/>
      <c r="J1091" s="331"/>
      <c r="K1091" s="331"/>
      <c r="L1091" s="331"/>
      <c r="M1091" s="331"/>
      <c r="N1091" s="303"/>
      <c r="O1091" s="304"/>
      <c r="P1091" s="312"/>
      <c r="Q1091" s="314"/>
      <c r="R1091" s="315"/>
      <c r="S1091" s="307"/>
      <c r="T1091" s="301"/>
      <c r="U1091" s="301"/>
      <c r="W1091" s="267"/>
      <c r="X1091" s="240"/>
      <c r="Y1091" s="268"/>
      <c r="Z1091" s="240"/>
      <c r="AA1091" s="241"/>
    </row>
    <row r="1092" spans="1:27" s="322" customFormat="1">
      <c r="A1092" s="312"/>
      <c r="B1092" s="76"/>
      <c r="C1092" s="76"/>
      <c r="D1092" s="330"/>
      <c r="E1092" s="331"/>
      <c r="F1092" s="331"/>
      <c r="G1092" s="331"/>
      <c r="H1092" s="331"/>
      <c r="I1092" s="331"/>
      <c r="J1092" s="331"/>
      <c r="K1092" s="331"/>
      <c r="L1092" s="331"/>
      <c r="M1092" s="331"/>
      <c r="N1092" s="303"/>
      <c r="O1092" s="304"/>
      <c r="P1092" s="312"/>
      <c r="Q1092" s="314"/>
      <c r="R1092" s="315"/>
      <c r="S1092" s="307"/>
      <c r="T1092" s="301"/>
      <c r="U1092" s="301"/>
      <c r="W1092" s="267"/>
      <c r="X1092" s="240"/>
      <c r="Y1092" s="268"/>
      <c r="Z1092" s="240"/>
      <c r="AA1092" s="241"/>
    </row>
    <row r="1093" spans="1:27" s="322" customFormat="1">
      <c r="A1093" s="312"/>
      <c r="B1093" s="76"/>
      <c r="C1093" s="76"/>
      <c r="D1093" s="330"/>
      <c r="E1093" s="331"/>
      <c r="F1093" s="331"/>
      <c r="G1093" s="331"/>
      <c r="H1093" s="331"/>
      <c r="I1093" s="331"/>
      <c r="J1093" s="331"/>
      <c r="K1093" s="331"/>
      <c r="L1093" s="331"/>
      <c r="M1093" s="331"/>
      <c r="N1093" s="303"/>
      <c r="O1093" s="304"/>
      <c r="P1093" s="312"/>
      <c r="Q1093" s="314"/>
      <c r="R1093" s="315"/>
      <c r="S1093" s="307"/>
      <c r="T1093" s="301"/>
      <c r="U1093" s="301"/>
      <c r="W1093" s="267"/>
      <c r="X1093" s="240"/>
      <c r="Y1093" s="268"/>
      <c r="Z1093" s="240"/>
      <c r="AA1093" s="241"/>
    </row>
    <row r="1094" spans="1:27" s="322" customFormat="1">
      <c r="A1094" s="312"/>
      <c r="B1094" s="76"/>
      <c r="C1094" s="76"/>
      <c r="D1094" s="330"/>
      <c r="E1094" s="331"/>
      <c r="F1094" s="331"/>
      <c r="G1094" s="331"/>
      <c r="H1094" s="331"/>
      <c r="I1094" s="331"/>
      <c r="J1094" s="331"/>
      <c r="K1094" s="331"/>
      <c r="L1094" s="331"/>
      <c r="M1094" s="331"/>
      <c r="N1094" s="303"/>
      <c r="O1094" s="304"/>
      <c r="P1094" s="312"/>
      <c r="Q1094" s="314"/>
      <c r="R1094" s="315"/>
      <c r="S1094" s="307"/>
      <c r="T1094" s="301"/>
      <c r="U1094" s="301"/>
      <c r="W1094" s="267"/>
      <c r="X1094" s="240"/>
      <c r="Y1094" s="268"/>
      <c r="Z1094" s="240"/>
      <c r="AA1094" s="241"/>
    </row>
    <row r="1095" spans="1:27" s="322" customFormat="1">
      <c r="A1095" s="312"/>
      <c r="B1095" s="76"/>
      <c r="C1095" s="76"/>
      <c r="D1095" s="330"/>
      <c r="E1095" s="331"/>
      <c r="F1095" s="331"/>
      <c r="G1095" s="331"/>
      <c r="H1095" s="331"/>
      <c r="I1095" s="331"/>
      <c r="J1095" s="331"/>
      <c r="K1095" s="331"/>
      <c r="L1095" s="331"/>
      <c r="M1095" s="331"/>
      <c r="N1095" s="303"/>
      <c r="O1095" s="304"/>
      <c r="P1095" s="312"/>
      <c r="Q1095" s="314"/>
      <c r="R1095" s="315"/>
      <c r="S1095" s="307"/>
      <c r="T1095" s="301"/>
      <c r="U1095" s="301"/>
      <c r="W1095" s="267"/>
      <c r="X1095" s="240"/>
      <c r="Y1095" s="268"/>
      <c r="Z1095" s="240"/>
      <c r="AA1095" s="241"/>
    </row>
    <row r="1096" spans="1:27" s="322" customFormat="1">
      <c r="A1096" s="312"/>
      <c r="B1096" s="76"/>
      <c r="C1096" s="76"/>
      <c r="D1096" s="330"/>
      <c r="E1096" s="331"/>
      <c r="F1096" s="331"/>
      <c r="G1096" s="331"/>
      <c r="H1096" s="331"/>
      <c r="I1096" s="331"/>
      <c r="J1096" s="331"/>
      <c r="K1096" s="331"/>
      <c r="L1096" s="331"/>
      <c r="M1096" s="331"/>
      <c r="N1096" s="303"/>
      <c r="O1096" s="304"/>
      <c r="P1096" s="312"/>
      <c r="Q1096" s="314"/>
      <c r="R1096" s="315"/>
      <c r="S1096" s="307"/>
      <c r="T1096" s="301"/>
      <c r="U1096" s="301"/>
      <c r="W1096" s="267"/>
      <c r="X1096" s="240"/>
      <c r="Y1096" s="268"/>
      <c r="Z1096" s="240"/>
      <c r="AA1096" s="241"/>
    </row>
    <row r="1097" spans="1:27" s="322" customFormat="1">
      <c r="A1097" s="312"/>
      <c r="B1097" s="76"/>
      <c r="C1097" s="76"/>
      <c r="D1097" s="330"/>
      <c r="E1097" s="331"/>
      <c r="F1097" s="331"/>
      <c r="G1097" s="331"/>
      <c r="H1097" s="331"/>
      <c r="I1097" s="331"/>
      <c r="J1097" s="331"/>
      <c r="K1097" s="331"/>
      <c r="L1097" s="331"/>
      <c r="M1097" s="331"/>
      <c r="N1097" s="303"/>
      <c r="O1097" s="304"/>
      <c r="P1097" s="312"/>
      <c r="Q1097" s="314"/>
      <c r="R1097" s="315"/>
      <c r="S1097" s="307"/>
      <c r="T1097" s="301"/>
      <c r="U1097" s="301"/>
      <c r="W1097" s="267"/>
      <c r="X1097" s="240"/>
      <c r="Y1097" s="268"/>
      <c r="Z1097" s="240"/>
      <c r="AA1097" s="241"/>
    </row>
    <row r="1098" spans="1:27" s="322" customFormat="1">
      <c r="A1098" s="312"/>
      <c r="B1098" s="76"/>
      <c r="C1098" s="76"/>
      <c r="D1098" s="330"/>
      <c r="E1098" s="331"/>
      <c r="F1098" s="331"/>
      <c r="G1098" s="331"/>
      <c r="H1098" s="331"/>
      <c r="I1098" s="331"/>
      <c r="J1098" s="331"/>
      <c r="K1098" s="331"/>
      <c r="L1098" s="331"/>
      <c r="M1098" s="331"/>
      <c r="N1098" s="303"/>
      <c r="O1098" s="304"/>
      <c r="P1098" s="312"/>
      <c r="Q1098" s="314"/>
      <c r="R1098" s="315"/>
      <c r="S1098" s="307"/>
      <c r="T1098" s="301"/>
      <c r="U1098" s="301"/>
      <c r="W1098" s="267"/>
      <c r="X1098" s="240"/>
      <c r="Y1098" s="268"/>
      <c r="Z1098" s="240"/>
      <c r="AA1098" s="241"/>
    </row>
    <row r="1099" spans="1:27" s="322" customFormat="1">
      <c r="A1099" s="312"/>
      <c r="B1099" s="76"/>
      <c r="C1099" s="76"/>
      <c r="D1099" s="330"/>
      <c r="E1099" s="331"/>
      <c r="F1099" s="331"/>
      <c r="G1099" s="331"/>
      <c r="H1099" s="331"/>
      <c r="I1099" s="331"/>
      <c r="J1099" s="331"/>
      <c r="K1099" s="331"/>
      <c r="L1099" s="331"/>
      <c r="M1099" s="331"/>
      <c r="N1099" s="303"/>
      <c r="O1099" s="304"/>
      <c r="P1099" s="312"/>
      <c r="Q1099" s="314"/>
      <c r="R1099" s="315"/>
      <c r="S1099" s="307"/>
      <c r="T1099" s="301"/>
      <c r="U1099" s="301"/>
      <c r="W1099" s="267"/>
      <c r="X1099" s="240"/>
      <c r="Y1099" s="268"/>
      <c r="Z1099" s="240"/>
      <c r="AA1099" s="241"/>
    </row>
    <row r="1100" spans="1:27" s="322" customFormat="1">
      <c r="A1100" s="312"/>
      <c r="B1100" s="76"/>
      <c r="C1100" s="76"/>
      <c r="D1100" s="330"/>
      <c r="E1100" s="331"/>
      <c r="F1100" s="331"/>
      <c r="G1100" s="331"/>
      <c r="H1100" s="331"/>
      <c r="I1100" s="331"/>
      <c r="J1100" s="331"/>
      <c r="K1100" s="331"/>
      <c r="L1100" s="331"/>
      <c r="M1100" s="331"/>
      <c r="N1100" s="303"/>
      <c r="O1100" s="304"/>
      <c r="P1100" s="312"/>
      <c r="Q1100" s="314"/>
      <c r="R1100" s="315"/>
      <c r="S1100" s="307"/>
      <c r="T1100" s="301"/>
      <c r="U1100" s="301"/>
      <c r="W1100" s="267"/>
      <c r="X1100" s="240"/>
      <c r="Y1100" s="268"/>
      <c r="Z1100" s="240"/>
      <c r="AA1100" s="241"/>
    </row>
    <row r="1101" spans="1:27" s="322" customFormat="1">
      <c r="A1101" s="312"/>
      <c r="B1101" s="76"/>
      <c r="C1101" s="76"/>
      <c r="D1101" s="330"/>
      <c r="E1101" s="331"/>
      <c r="F1101" s="331"/>
      <c r="G1101" s="331"/>
      <c r="H1101" s="331"/>
      <c r="I1101" s="331"/>
      <c r="J1101" s="331"/>
      <c r="K1101" s="331"/>
      <c r="L1101" s="331"/>
      <c r="M1101" s="331"/>
      <c r="N1101" s="303"/>
      <c r="O1101" s="304"/>
      <c r="P1101" s="312"/>
      <c r="Q1101" s="314"/>
      <c r="R1101" s="315"/>
      <c r="S1101" s="307"/>
      <c r="T1101" s="301"/>
      <c r="U1101" s="301"/>
      <c r="W1101" s="267"/>
      <c r="X1101" s="240"/>
      <c r="Y1101" s="268"/>
      <c r="Z1101" s="240"/>
      <c r="AA1101" s="241"/>
    </row>
    <row r="1102" spans="1:27" s="322" customFormat="1">
      <c r="A1102" s="312"/>
      <c r="B1102" s="76"/>
      <c r="C1102" s="76"/>
      <c r="D1102" s="330"/>
      <c r="E1102" s="331"/>
      <c r="F1102" s="331"/>
      <c r="G1102" s="331"/>
      <c r="H1102" s="331"/>
      <c r="I1102" s="331"/>
      <c r="J1102" s="331"/>
      <c r="K1102" s="331"/>
      <c r="L1102" s="331"/>
      <c r="M1102" s="331"/>
      <c r="N1102" s="303"/>
      <c r="O1102" s="304"/>
      <c r="P1102" s="312"/>
      <c r="Q1102" s="314"/>
      <c r="R1102" s="315"/>
      <c r="S1102" s="307"/>
      <c r="T1102" s="301"/>
      <c r="U1102" s="301"/>
      <c r="W1102" s="267"/>
      <c r="X1102" s="240"/>
      <c r="Y1102" s="268"/>
      <c r="Z1102" s="240"/>
      <c r="AA1102" s="241"/>
    </row>
    <row r="1103" spans="1:27" s="322" customFormat="1">
      <c r="A1103" s="312"/>
      <c r="B1103" s="76"/>
      <c r="C1103" s="76"/>
      <c r="D1103" s="330"/>
      <c r="E1103" s="331"/>
      <c r="F1103" s="331"/>
      <c r="G1103" s="331"/>
      <c r="H1103" s="331"/>
      <c r="I1103" s="331"/>
      <c r="J1103" s="331"/>
      <c r="K1103" s="331"/>
      <c r="L1103" s="331"/>
      <c r="M1103" s="331"/>
      <c r="N1103" s="303"/>
      <c r="O1103" s="304"/>
      <c r="P1103" s="312"/>
      <c r="Q1103" s="314"/>
      <c r="R1103" s="315"/>
      <c r="S1103" s="307"/>
      <c r="T1103" s="301"/>
      <c r="U1103" s="301"/>
      <c r="W1103" s="267"/>
      <c r="X1103" s="240"/>
      <c r="Y1103" s="268"/>
      <c r="Z1103" s="240"/>
      <c r="AA1103" s="241"/>
    </row>
    <row r="1104" spans="1:27" s="322" customFormat="1">
      <c r="A1104" s="312"/>
      <c r="B1104" s="76"/>
      <c r="C1104" s="76"/>
      <c r="D1104" s="330"/>
      <c r="E1104" s="331"/>
      <c r="F1104" s="331"/>
      <c r="G1104" s="331"/>
      <c r="H1104" s="331"/>
      <c r="I1104" s="331"/>
      <c r="J1104" s="331"/>
      <c r="K1104" s="331"/>
      <c r="L1104" s="331"/>
      <c r="M1104" s="331"/>
      <c r="N1104" s="303"/>
      <c r="O1104" s="304"/>
      <c r="P1104" s="312"/>
      <c r="Q1104" s="314"/>
      <c r="R1104" s="315"/>
      <c r="S1104" s="307"/>
      <c r="T1104" s="301"/>
      <c r="U1104" s="301"/>
      <c r="W1104" s="267"/>
      <c r="X1104" s="240"/>
      <c r="Y1104" s="268"/>
      <c r="Z1104" s="240"/>
      <c r="AA1104" s="241"/>
    </row>
    <row r="1105" spans="1:27" s="322" customFormat="1">
      <c r="A1105" s="312"/>
      <c r="B1105" s="76"/>
      <c r="C1105" s="76"/>
      <c r="D1105" s="330"/>
      <c r="E1105" s="331"/>
      <c r="F1105" s="331"/>
      <c r="G1105" s="331"/>
      <c r="H1105" s="331"/>
      <c r="I1105" s="331"/>
      <c r="J1105" s="331"/>
      <c r="K1105" s="331"/>
      <c r="L1105" s="331"/>
      <c r="M1105" s="331"/>
      <c r="N1105" s="303"/>
      <c r="O1105" s="304"/>
      <c r="P1105" s="312"/>
      <c r="Q1105" s="312"/>
      <c r="R1105" s="76"/>
      <c r="S1105" s="307"/>
      <c r="T1105" s="301"/>
      <c r="U1105" s="301"/>
      <c r="W1105" s="267"/>
      <c r="X1105" s="240"/>
      <c r="Y1105" s="268"/>
      <c r="Z1105" s="240"/>
      <c r="AA1105" s="241"/>
    </row>
    <row r="1106" spans="1:27" s="322" customFormat="1">
      <c r="A1106" s="312"/>
      <c r="B1106" s="76"/>
      <c r="C1106" s="76"/>
      <c r="D1106" s="330"/>
      <c r="E1106" s="331"/>
      <c r="F1106" s="331"/>
      <c r="G1106" s="331"/>
      <c r="H1106" s="331"/>
      <c r="I1106" s="331"/>
      <c r="J1106" s="331"/>
      <c r="K1106" s="331"/>
      <c r="L1106" s="331"/>
      <c r="M1106" s="331"/>
      <c r="N1106" s="303"/>
      <c r="O1106" s="304"/>
      <c r="P1106" s="312"/>
      <c r="Q1106" s="312"/>
      <c r="R1106" s="76"/>
      <c r="S1106" s="307"/>
      <c r="T1106" s="301"/>
      <c r="U1106" s="301"/>
      <c r="W1106" s="267"/>
      <c r="X1106" s="240"/>
      <c r="Y1106" s="268"/>
      <c r="Z1106" s="240"/>
      <c r="AA1106" s="241"/>
    </row>
    <row r="1107" spans="1:27" s="322" customFormat="1">
      <c r="A1107" s="312"/>
      <c r="B1107" s="76"/>
      <c r="C1107" s="76"/>
      <c r="D1107" s="330"/>
      <c r="E1107" s="331"/>
      <c r="F1107" s="331"/>
      <c r="G1107" s="331"/>
      <c r="H1107" s="331"/>
      <c r="I1107" s="331"/>
      <c r="J1107" s="331"/>
      <c r="K1107" s="331"/>
      <c r="L1107" s="331"/>
      <c r="M1107" s="331"/>
      <c r="N1107" s="303"/>
      <c r="O1107" s="304"/>
      <c r="P1107" s="312"/>
      <c r="Q1107" s="312"/>
      <c r="R1107" s="76"/>
      <c r="S1107" s="307"/>
      <c r="T1107" s="301"/>
      <c r="U1107" s="301"/>
      <c r="W1107" s="267"/>
      <c r="X1107" s="240"/>
      <c r="Y1107" s="268"/>
      <c r="Z1107" s="240"/>
      <c r="AA1107" s="241"/>
    </row>
    <row r="1108" spans="1:27" s="322" customFormat="1">
      <c r="A1108" s="312"/>
      <c r="B1108" s="76"/>
      <c r="C1108" s="76"/>
      <c r="D1108" s="330"/>
      <c r="E1108" s="331"/>
      <c r="F1108" s="331"/>
      <c r="G1108" s="331"/>
      <c r="H1108" s="331"/>
      <c r="I1108" s="331"/>
      <c r="J1108" s="331"/>
      <c r="K1108" s="331"/>
      <c r="L1108" s="331"/>
      <c r="M1108" s="331"/>
      <c r="N1108" s="303"/>
      <c r="O1108" s="304"/>
      <c r="P1108" s="312"/>
      <c r="Q1108" s="312"/>
      <c r="R1108" s="76"/>
      <c r="S1108" s="307"/>
      <c r="T1108" s="301"/>
      <c r="U1108" s="301"/>
      <c r="W1108" s="267"/>
      <c r="X1108" s="240"/>
      <c r="Y1108" s="268"/>
      <c r="Z1108" s="240"/>
      <c r="AA1108" s="241"/>
    </row>
    <row r="1109" spans="1:27" s="322" customFormat="1">
      <c r="A1109" s="312"/>
      <c r="B1109" s="76"/>
      <c r="C1109" s="76"/>
      <c r="D1109" s="330"/>
      <c r="E1109" s="331"/>
      <c r="F1109" s="331"/>
      <c r="G1109" s="331"/>
      <c r="H1109" s="331"/>
      <c r="I1109" s="331"/>
      <c r="J1109" s="331"/>
      <c r="K1109" s="331"/>
      <c r="L1109" s="331"/>
      <c r="M1109" s="331"/>
      <c r="N1109" s="303"/>
      <c r="O1109" s="304"/>
      <c r="P1109" s="312"/>
      <c r="Q1109" s="312"/>
      <c r="R1109" s="76"/>
      <c r="S1109" s="307"/>
      <c r="T1109" s="301"/>
      <c r="U1109" s="301"/>
      <c r="W1109" s="267"/>
      <c r="X1109" s="240"/>
      <c r="Y1109" s="268"/>
      <c r="Z1109" s="240"/>
      <c r="AA1109" s="241"/>
    </row>
    <row r="1110" spans="1:27" s="322" customFormat="1">
      <c r="A1110" s="312"/>
      <c r="B1110" s="76"/>
      <c r="C1110" s="76"/>
      <c r="D1110" s="330"/>
      <c r="E1110" s="331"/>
      <c r="F1110" s="331"/>
      <c r="G1110" s="331"/>
      <c r="H1110" s="331"/>
      <c r="I1110" s="331"/>
      <c r="J1110" s="331"/>
      <c r="K1110" s="331"/>
      <c r="L1110" s="331"/>
      <c r="M1110" s="331"/>
      <c r="N1110" s="303"/>
      <c r="O1110" s="304"/>
      <c r="P1110" s="312"/>
      <c r="Q1110" s="312"/>
      <c r="R1110" s="76"/>
      <c r="S1110" s="307"/>
      <c r="T1110" s="301"/>
      <c r="U1110" s="301"/>
      <c r="W1110" s="267"/>
      <c r="X1110" s="240"/>
      <c r="Y1110" s="268"/>
      <c r="Z1110" s="240"/>
      <c r="AA1110" s="241"/>
    </row>
    <row r="1111" spans="1:27" s="322" customFormat="1">
      <c r="A1111" s="312"/>
      <c r="B1111" s="76"/>
      <c r="C1111" s="76"/>
      <c r="D1111" s="330"/>
      <c r="E1111" s="331"/>
      <c r="F1111" s="331"/>
      <c r="G1111" s="331"/>
      <c r="H1111" s="331"/>
      <c r="I1111" s="331"/>
      <c r="J1111" s="331"/>
      <c r="K1111" s="331"/>
      <c r="L1111" s="331"/>
      <c r="M1111" s="331"/>
      <c r="N1111" s="303"/>
      <c r="O1111" s="304"/>
      <c r="P1111" s="312"/>
      <c r="Q1111" s="312"/>
      <c r="R1111" s="76"/>
      <c r="S1111" s="307"/>
      <c r="T1111" s="301"/>
      <c r="U1111" s="301"/>
      <c r="W1111" s="267"/>
      <c r="X1111" s="240"/>
      <c r="Y1111" s="268"/>
      <c r="Z1111" s="240"/>
      <c r="AA1111" s="241"/>
    </row>
    <row r="1112" spans="1:27" s="322" customFormat="1">
      <c r="A1112" s="312"/>
      <c r="B1112" s="76"/>
      <c r="C1112" s="76"/>
      <c r="D1112" s="330"/>
      <c r="E1112" s="331"/>
      <c r="F1112" s="331"/>
      <c r="G1112" s="331"/>
      <c r="H1112" s="331"/>
      <c r="I1112" s="331"/>
      <c r="J1112" s="331"/>
      <c r="K1112" s="331"/>
      <c r="L1112" s="331"/>
      <c r="M1112" s="331"/>
      <c r="N1112" s="303"/>
      <c r="O1112" s="304"/>
      <c r="P1112" s="312"/>
      <c r="Q1112" s="312"/>
      <c r="R1112" s="76"/>
      <c r="S1112" s="307"/>
      <c r="T1112" s="301"/>
      <c r="U1112" s="301"/>
      <c r="W1112" s="267"/>
      <c r="X1112" s="240"/>
      <c r="Y1112" s="268"/>
      <c r="Z1112" s="240"/>
      <c r="AA1112" s="241"/>
    </row>
    <row r="1113" spans="1:27" s="322" customFormat="1">
      <c r="A1113" s="312"/>
      <c r="B1113" s="76"/>
      <c r="C1113" s="76"/>
      <c r="D1113" s="330"/>
      <c r="E1113" s="331"/>
      <c r="F1113" s="331"/>
      <c r="G1113" s="331"/>
      <c r="H1113" s="331"/>
      <c r="I1113" s="331"/>
      <c r="J1113" s="331"/>
      <c r="K1113" s="331"/>
      <c r="L1113" s="331"/>
      <c r="M1113" s="331"/>
      <c r="N1113" s="303"/>
      <c r="O1113" s="304"/>
      <c r="P1113" s="312"/>
      <c r="Q1113" s="312"/>
      <c r="R1113" s="76"/>
      <c r="S1113" s="307"/>
      <c r="T1113" s="301"/>
      <c r="U1113" s="301"/>
      <c r="W1113" s="267"/>
      <c r="X1113" s="240"/>
      <c r="Y1113" s="268"/>
      <c r="Z1113" s="240"/>
      <c r="AA1113" s="241"/>
    </row>
    <row r="1114" spans="1:27" s="322" customFormat="1">
      <c r="A1114" s="312"/>
      <c r="B1114" s="76"/>
      <c r="C1114" s="76"/>
      <c r="D1114" s="330"/>
      <c r="E1114" s="331"/>
      <c r="F1114" s="331"/>
      <c r="G1114" s="331"/>
      <c r="H1114" s="331"/>
      <c r="I1114" s="331"/>
      <c r="J1114" s="331"/>
      <c r="K1114" s="331"/>
      <c r="L1114" s="331"/>
      <c r="M1114" s="331"/>
      <c r="N1114" s="303"/>
      <c r="O1114" s="304"/>
      <c r="P1114" s="312"/>
      <c r="Q1114" s="312"/>
      <c r="R1114" s="76"/>
      <c r="S1114" s="307"/>
      <c r="T1114" s="301"/>
      <c r="U1114" s="301"/>
      <c r="W1114" s="267"/>
      <c r="X1114" s="240"/>
      <c r="Y1114" s="268"/>
      <c r="Z1114" s="240"/>
      <c r="AA1114" s="241"/>
    </row>
    <row r="1115" spans="1:27" s="322" customFormat="1">
      <c r="A1115" s="312"/>
      <c r="B1115" s="76"/>
      <c r="C1115" s="76"/>
      <c r="D1115" s="330"/>
      <c r="E1115" s="331"/>
      <c r="F1115" s="331"/>
      <c r="G1115" s="331"/>
      <c r="H1115" s="331"/>
      <c r="I1115" s="331"/>
      <c r="J1115" s="331"/>
      <c r="K1115" s="331"/>
      <c r="L1115" s="331"/>
      <c r="M1115" s="331"/>
      <c r="N1115" s="303"/>
      <c r="O1115" s="304"/>
      <c r="P1115" s="312"/>
      <c r="Q1115" s="312"/>
      <c r="R1115" s="76"/>
      <c r="S1115" s="307"/>
      <c r="T1115" s="301"/>
      <c r="U1115" s="301"/>
      <c r="W1115" s="267"/>
      <c r="X1115" s="240"/>
      <c r="Y1115" s="268"/>
      <c r="Z1115" s="240"/>
      <c r="AA1115" s="241"/>
    </row>
    <row r="1116" spans="1:27" s="322" customFormat="1">
      <c r="A1116" s="312"/>
      <c r="B1116" s="76"/>
      <c r="C1116" s="76"/>
      <c r="D1116" s="330"/>
      <c r="E1116" s="331"/>
      <c r="F1116" s="331"/>
      <c r="G1116" s="331"/>
      <c r="H1116" s="331"/>
      <c r="I1116" s="331"/>
      <c r="J1116" s="331"/>
      <c r="K1116" s="331"/>
      <c r="L1116" s="331"/>
      <c r="M1116" s="331"/>
      <c r="N1116" s="303"/>
      <c r="O1116" s="304"/>
      <c r="P1116" s="312"/>
      <c r="Q1116" s="312"/>
      <c r="R1116" s="76"/>
      <c r="S1116" s="307"/>
      <c r="T1116" s="301"/>
      <c r="U1116" s="301"/>
      <c r="W1116" s="267"/>
      <c r="X1116" s="240"/>
      <c r="Y1116" s="268"/>
      <c r="Z1116" s="240"/>
      <c r="AA1116" s="241"/>
    </row>
    <row r="1117" spans="1:27" s="322" customFormat="1">
      <c r="A1117" s="312"/>
      <c r="B1117" s="76"/>
      <c r="C1117" s="76"/>
      <c r="D1117" s="330"/>
      <c r="E1117" s="331"/>
      <c r="F1117" s="331"/>
      <c r="G1117" s="331"/>
      <c r="H1117" s="331"/>
      <c r="I1117" s="331"/>
      <c r="J1117" s="331"/>
      <c r="K1117" s="331"/>
      <c r="L1117" s="331"/>
      <c r="M1117" s="331"/>
      <c r="N1117" s="303"/>
      <c r="O1117" s="304"/>
      <c r="P1117" s="312"/>
      <c r="Q1117" s="312"/>
      <c r="R1117" s="76"/>
      <c r="S1117" s="307"/>
      <c r="T1117" s="301"/>
      <c r="U1117" s="301"/>
      <c r="W1117" s="267"/>
      <c r="X1117" s="240"/>
      <c r="Y1117" s="268"/>
      <c r="Z1117" s="240"/>
      <c r="AA1117" s="241"/>
    </row>
    <row r="1118" spans="1:27" s="322" customFormat="1">
      <c r="A1118" s="312"/>
      <c r="B1118" s="76"/>
      <c r="C1118" s="76"/>
      <c r="D1118" s="330"/>
      <c r="E1118" s="331"/>
      <c r="F1118" s="331"/>
      <c r="G1118" s="331"/>
      <c r="H1118" s="331"/>
      <c r="I1118" s="331"/>
      <c r="J1118" s="331"/>
      <c r="K1118" s="331"/>
      <c r="L1118" s="331"/>
      <c r="M1118" s="331"/>
      <c r="N1118" s="303"/>
      <c r="O1118" s="304"/>
      <c r="P1118" s="312"/>
      <c r="Q1118" s="312"/>
      <c r="R1118" s="76"/>
      <c r="S1118" s="307"/>
      <c r="T1118" s="301"/>
      <c r="U1118" s="301"/>
      <c r="W1118" s="267"/>
      <c r="X1118" s="240"/>
      <c r="Y1118" s="268"/>
      <c r="Z1118" s="240"/>
      <c r="AA1118" s="241"/>
    </row>
    <row r="1119" spans="1:27" s="322" customFormat="1">
      <c r="A1119" s="312"/>
      <c r="B1119" s="76"/>
      <c r="C1119" s="76"/>
      <c r="D1119" s="330"/>
      <c r="E1119" s="331"/>
      <c r="F1119" s="331"/>
      <c r="G1119" s="331"/>
      <c r="H1119" s="331"/>
      <c r="I1119" s="331"/>
      <c r="J1119" s="331"/>
      <c r="K1119" s="331"/>
      <c r="L1119" s="331"/>
      <c r="M1119" s="331"/>
      <c r="N1119" s="303"/>
      <c r="O1119" s="304"/>
      <c r="P1119" s="312"/>
      <c r="Q1119" s="312"/>
      <c r="R1119" s="76"/>
      <c r="S1119" s="307"/>
      <c r="T1119" s="301"/>
      <c r="U1119" s="301"/>
      <c r="W1119" s="267"/>
      <c r="X1119" s="240"/>
      <c r="Y1119" s="268"/>
      <c r="Z1119" s="240"/>
      <c r="AA1119" s="241"/>
    </row>
    <row r="1120" spans="1:27" s="322" customFormat="1">
      <c r="A1120" s="312"/>
      <c r="B1120" s="76"/>
      <c r="C1120" s="76"/>
      <c r="D1120" s="330"/>
      <c r="E1120" s="331"/>
      <c r="F1120" s="331"/>
      <c r="G1120" s="331"/>
      <c r="H1120" s="331"/>
      <c r="I1120" s="331"/>
      <c r="J1120" s="331"/>
      <c r="K1120" s="331"/>
      <c r="L1120" s="331"/>
      <c r="M1120" s="331"/>
      <c r="N1120" s="303"/>
      <c r="O1120" s="304"/>
      <c r="P1120" s="312"/>
      <c r="Q1120" s="312"/>
      <c r="R1120" s="76"/>
      <c r="S1120" s="307"/>
      <c r="T1120" s="301"/>
      <c r="U1120" s="301"/>
      <c r="W1120" s="267"/>
      <c r="X1120" s="240"/>
      <c r="Y1120" s="268"/>
      <c r="Z1120" s="240"/>
      <c r="AA1120" s="241"/>
    </row>
    <row r="1121" spans="1:27" s="322" customFormat="1">
      <c r="A1121" s="312"/>
      <c r="B1121" s="76"/>
      <c r="C1121" s="76"/>
      <c r="D1121" s="330"/>
      <c r="E1121" s="331"/>
      <c r="F1121" s="331"/>
      <c r="G1121" s="331"/>
      <c r="H1121" s="331"/>
      <c r="I1121" s="331"/>
      <c r="J1121" s="331"/>
      <c r="K1121" s="331"/>
      <c r="L1121" s="331"/>
      <c r="M1121" s="331"/>
      <c r="N1121" s="303"/>
      <c r="O1121" s="304"/>
      <c r="P1121" s="312"/>
      <c r="Q1121" s="312"/>
      <c r="R1121" s="76"/>
      <c r="S1121" s="307"/>
      <c r="T1121" s="301"/>
      <c r="U1121" s="301"/>
      <c r="W1121" s="267"/>
      <c r="X1121" s="240"/>
      <c r="Y1121" s="268"/>
      <c r="Z1121" s="240"/>
      <c r="AA1121" s="241"/>
    </row>
    <row r="1122" spans="1:27" s="322" customFormat="1">
      <c r="A1122" s="312"/>
      <c r="B1122" s="76"/>
      <c r="C1122" s="76"/>
      <c r="D1122" s="330"/>
      <c r="E1122" s="331"/>
      <c r="F1122" s="331"/>
      <c r="G1122" s="331"/>
      <c r="H1122" s="331"/>
      <c r="I1122" s="331"/>
      <c r="J1122" s="331"/>
      <c r="K1122" s="331"/>
      <c r="L1122" s="331"/>
      <c r="M1122" s="331"/>
      <c r="N1122" s="303"/>
      <c r="O1122" s="304"/>
      <c r="P1122" s="312"/>
      <c r="Q1122" s="312"/>
      <c r="R1122" s="76"/>
      <c r="S1122" s="307"/>
      <c r="T1122" s="301"/>
      <c r="U1122" s="301"/>
      <c r="W1122" s="267"/>
      <c r="X1122" s="240"/>
      <c r="Y1122" s="268"/>
      <c r="Z1122" s="240"/>
      <c r="AA1122" s="241"/>
    </row>
    <row r="1123" spans="1:27" s="322" customFormat="1">
      <c r="A1123" s="312"/>
      <c r="B1123" s="76"/>
      <c r="C1123" s="76"/>
      <c r="D1123" s="330"/>
      <c r="E1123" s="331"/>
      <c r="F1123" s="331"/>
      <c r="G1123" s="331"/>
      <c r="H1123" s="331"/>
      <c r="I1123" s="331"/>
      <c r="J1123" s="331"/>
      <c r="K1123" s="331"/>
      <c r="L1123" s="331"/>
      <c r="M1123" s="331"/>
      <c r="N1123" s="303"/>
      <c r="O1123" s="304"/>
      <c r="P1123" s="312"/>
      <c r="Q1123" s="312"/>
      <c r="R1123" s="76"/>
      <c r="S1123" s="307"/>
      <c r="T1123" s="301"/>
      <c r="U1123" s="301"/>
      <c r="W1123" s="267"/>
      <c r="X1123" s="240"/>
      <c r="Y1123" s="268"/>
      <c r="Z1123" s="240"/>
      <c r="AA1123" s="241"/>
    </row>
    <row r="1124" spans="1:27" s="322" customFormat="1">
      <c r="A1124" s="312"/>
      <c r="B1124" s="76"/>
      <c r="C1124" s="76"/>
      <c r="D1124" s="330"/>
      <c r="E1124" s="331"/>
      <c r="F1124" s="331"/>
      <c r="G1124" s="331"/>
      <c r="H1124" s="331"/>
      <c r="I1124" s="331"/>
      <c r="J1124" s="331"/>
      <c r="K1124" s="331"/>
      <c r="L1124" s="331"/>
      <c r="M1124" s="331"/>
      <c r="N1124" s="303"/>
      <c r="O1124" s="304"/>
      <c r="P1124" s="312"/>
      <c r="Q1124" s="312"/>
      <c r="R1124" s="76"/>
      <c r="S1124" s="307"/>
      <c r="T1124" s="301"/>
      <c r="U1124" s="301"/>
      <c r="W1124" s="267"/>
      <c r="X1124" s="240"/>
      <c r="Y1124" s="268"/>
      <c r="Z1124" s="240"/>
      <c r="AA1124" s="241"/>
    </row>
    <row r="1125" spans="1:27" s="322" customFormat="1">
      <c r="A1125" s="312"/>
      <c r="B1125" s="76"/>
      <c r="C1125" s="76"/>
      <c r="D1125" s="330"/>
      <c r="E1125" s="331"/>
      <c r="F1125" s="331"/>
      <c r="G1125" s="331"/>
      <c r="H1125" s="331"/>
      <c r="I1125" s="331"/>
      <c r="J1125" s="331"/>
      <c r="K1125" s="331"/>
      <c r="L1125" s="331"/>
      <c r="M1125" s="331"/>
      <c r="N1125" s="303"/>
      <c r="O1125" s="304"/>
      <c r="P1125" s="312"/>
      <c r="Q1125" s="312"/>
      <c r="R1125" s="76"/>
      <c r="S1125" s="307"/>
      <c r="T1125" s="301"/>
      <c r="U1125" s="301"/>
      <c r="W1125" s="267"/>
      <c r="X1125" s="240"/>
      <c r="Y1125" s="268"/>
      <c r="Z1125" s="240"/>
      <c r="AA1125" s="241"/>
    </row>
    <row r="1126" spans="1:27" s="322" customFormat="1">
      <c r="A1126" s="312"/>
      <c r="B1126" s="76"/>
      <c r="C1126" s="76"/>
      <c r="D1126" s="330"/>
      <c r="E1126" s="331"/>
      <c r="F1126" s="331"/>
      <c r="G1126" s="331"/>
      <c r="H1126" s="331"/>
      <c r="I1126" s="331"/>
      <c r="J1126" s="331"/>
      <c r="K1126" s="331"/>
      <c r="L1126" s="331"/>
      <c r="M1126" s="331"/>
      <c r="N1126" s="303"/>
      <c r="O1126" s="304"/>
      <c r="P1126" s="312"/>
      <c r="Q1126" s="312"/>
      <c r="R1126" s="76"/>
      <c r="S1126" s="307"/>
      <c r="T1126" s="301"/>
      <c r="U1126" s="301"/>
      <c r="W1126" s="267"/>
      <c r="X1126" s="240"/>
      <c r="Y1126" s="268"/>
      <c r="Z1126" s="240"/>
      <c r="AA1126" s="241"/>
    </row>
    <row r="1127" spans="1:27" s="322" customFormat="1">
      <c r="A1127" s="312"/>
      <c r="B1127" s="76"/>
      <c r="C1127" s="76"/>
      <c r="D1127" s="330"/>
      <c r="E1127" s="331"/>
      <c r="F1127" s="331"/>
      <c r="G1127" s="331"/>
      <c r="H1127" s="331"/>
      <c r="I1127" s="331"/>
      <c r="J1127" s="331"/>
      <c r="K1127" s="331"/>
      <c r="L1127" s="331"/>
      <c r="M1127" s="331"/>
      <c r="N1127" s="303"/>
      <c r="O1127" s="304"/>
      <c r="P1127" s="312"/>
      <c r="Q1127" s="312"/>
      <c r="R1127" s="76"/>
      <c r="S1127" s="307"/>
      <c r="T1127" s="301"/>
      <c r="U1127" s="301"/>
      <c r="W1127" s="267"/>
      <c r="X1127" s="240"/>
      <c r="Y1127" s="268"/>
      <c r="Z1127" s="240"/>
      <c r="AA1127" s="241"/>
    </row>
    <row r="1128" spans="1:27" s="322" customFormat="1">
      <c r="A1128" s="312"/>
      <c r="B1128" s="76"/>
      <c r="C1128" s="76"/>
      <c r="D1128" s="330"/>
      <c r="E1128" s="331"/>
      <c r="F1128" s="331"/>
      <c r="G1128" s="331"/>
      <c r="H1128" s="331"/>
      <c r="I1128" s="331"/>
      <c r="J1128" s="331"/>
      <c r="K1128" s="331"/>
      <c r="L1128" s="331"/>
      <c r="M1128" s="331"/>
      <c r="N1128" s="303"/>
      <c r="O1128" s="304"/>
      <c r="P1128" s="312"/>
      <c r="Q1128" s="312"/>
      <c r="R1128" s="76"/>
      <c r="S1128" s="307"/>
      <c r="T1128" s="301"/>
      <c r="U1128" s="301"/>
      <c r="W1128" s="267"/>
      <c r="X1128" s="240"/>
      <c r="Y1128" s="268"/>
      <c r="Z1128" s="240"/>
      <c r="AA1128" s="241"/>
    </row>
    <row r="1129" spans="1:27" s="322" customFormat="1">
      <c r="A1129" s="312"/>
      <c r="B1129" s="76"/>
      <c r="C1129" s="76"/>
      <c r="D1129" s="330"/>
      <c r="E1129" s="331"/>
      <c r="F1129" s="331"/>
      <c r="G1129" s="331"/>
      <c r="H1129" s="331"/>
      <c r="I1129" s="331"/>
      <c r="J1129" s="331"/>
      <c r="K1129" s="331"/>
      <c r="L1129" s="331"/>
      <c r="M1129" s="331"/>
      <c r="N1129" s="303"/>
      <c r="O1129" s="304"/>
      <c r="P1129" s="312"/>
      <c r="Q1129" s="312"/>
      <c r="R1129" s="76"/>
      <c r="S1129" s="307"/>
      <c r="T1129" s="301"/>
      <c r="U1129" s="301"/>
      <c r="W1129" s="267"/>
      <c r="X1129" s="240"/>
      <c r="Y1129" s="268"/>
      <c r="Z1129" s="240"/>
      <c r="AA1129" s="241"/>
    </row>
    <row r="1130" spans="1:27" s="322" customFormat="1">
      <c r="A1130" s="312"/>
      <c r="B1130" s="76"/>
      <c r="C1130" s="76"/>
      <c r="D1130" s="330"/>
      <c r="E1130" s="331"/>
      <c r="F1130" s="331"/>
      <c r="G1130" s="331"/>
      <c r="H1130" s="331"/>
      <c r="I1130" s="331"/>
      <c r="J1130" s="331"/>
      <c r="K1130" s="331"/>
      <c r="L1130" s="331"/>
      <c r="M1130" s="331"/>
      <c r="N1130" s="303"/>
      <c r="O1130" s="304"/>
      <c r="P1130" s="312"/>
      <c r="Q1130" s="312"/>
      <c r="R1130" s="76"/>
      <c r="S1130" s="307"/>
      <c r="T1130" s="301"/>
      <c r="U1130" s="301"/>
      <c r="W1130" s="267"/>
      <c r="X1130" s="240"/>
      <c r="Y1130" s="268"/>
      <c r="Z1130" s="240"/>
      <c r="AA1130" s="241"/>
    </row>
    <row r="1131" spans="1:27" s="322" customFormat="1">
      <c r="A1131" s="312"/>
      <c r="B1131" s="76"/>
      <c r="C1131" s="76"/>
      <c r="D1131" s="330"/>
      <c r="E1131" s="331"/>
      <c r="F1131" s="331"/>
      <c r="G1131" s="331"/>
      <c r="H1131" s="331"/>
      <c r="I1131" s="331"/>
      <c r="J1131" s="331"/>
      <c r="K1131" s="331"/>
      <c r="L1131" s="331"/>
      <c r="M1131" s="331"/>
      <c r="N1131" s="303"/>
      <c r="O1131" s="304"/>
      <c r="P1131" s="312"/>
      <c r="Q1131" s="312"/>
      <c r="R1131" s="76"/>
      <c r="S1131" s="307"/>
      <c r="T1131" s="301"/>
      <c r="U1131" s="301"/>
      <c r="W1131" s="267"/>
      <c r="X1131" s="240"/>
      <c r="Y1131" s="268"/>
      <c r="Z1131" s="240"/>
      <c r="AA1131" s="241"/>
    </row>
    <row r="1132" spans="1:27" s="322" customFormat="1">
      <c r="A1132" s="312"/>
      <c r="B1132" s="76"/>
      <c r="C1132" s="76"/>
      <c r="D1132" s="330"/>
      <c r="E1132" s="331"/>
      <c r="F1132" s="331"/>
      <c r="G1132" s="331"/>
      <c r="H1132" s="331"/>
      <c r="I1132" s="331"/>
      <c r="J1132" s="331"/>
      <c r="K1132" s="331"/>
      <c r="L1132" s="331"/>
      <c r="M1132" s="331"/>
      <c r="N1132" s="303"/>
      <c r="O1132" s="304"/>
      <c r="P1132" s="312"/>
      <c r="Q1132" s="312"/>
      <c r="R1132" s="76"/>
      <c r="S1132" s="307"/>
      <c r="T1132" s="301"/>
      <c r="U1132" s="301"/>
      <c r="W1132" s="267"/>
      <c r="X1132" s="240"/>
      <c r="Y1132" s="268"/>
      <c r="Z1132" s="240"/>
      <c r="AA1132" s="241"/>
    </row>
    <row r="1133" spans="1:27" s="322" customFormat="1">
      <c r="A1133" s="312"/>
      <c r="B1133" s="76"/>
      <c r="C1133" s="76"/>
      <c r="D1133" s="330"/>
      <c r="E1133" s="331"/>
      <c r="F1133" s="331"/>
      <c r="G1133" s="331"/>
      <c r="H1133" s="331"/>
      <c r="I1133" s="331"/>
      <c r="J1133" s="331"/>
      <c r="K1133" s="331"/>
      <c r="L1133" s="331"/>
      <c r="M1133" s="331"/>
      <c r="N1133" s="303"/>
      <c r="O1133" s="304"/>
      <c r="P1133" s="312"/>
      <c r="Q1133" s="312"/>
      <c r="R1133" s="76"/>
      <c r="S1133" s="307"/>
      <c r="T1133" s="301"/>
      <c r="U1133" s="301"/>
      <c r="W1133" s="267"/>
      <c r="X1133" s="240"/>
      <c r="Y1133" s="268"/>
      <c r="Z1133" s="240"/>
      <c r="AA1133" s="241"/>
    </row>
    <row r="1134" spans="1:27" s="322" customFormat="1">
      <c r="A1134" s="312"/>
      <c r="B1134" s="76"/>
      <c r="C1134" s="76"/>
      <c r="D1134" s="330"/>
      <c r="E1134" s="331"/>
      <c r="F1134" s="331"/>
      <c r="G1134" s="331"/>
      <c r="H1134" s="331"/>
      <c r="I1134" s="331"/>
      <c r="J1134" s="331"/>
      <c r="K1134" s="331"/>
      <c r="L1134" s="331"/>
      <c r="M1134" s="331"/>
      <c r="N1134" s="303"/>
      <c r="O1134" s="304"/>
      <c r="P1134" s="312"/>
      <c r="Q1134" s="312"/>
      <c r="R1134" s="76"/>
      <c r="S1134" s="307"/>
      <c r="T1134" s="301"/>
      <c r="U1134" s="301"/>
      <c r="W1134" s="267"/>
      <c r="X1134" s="240"/>
      <c r="Y1134" s="268"/>
      <c r="Z1134" s="240"/>
      <c r="AA1134" s="241"/>
    </row>
    <row r="1135" spans="1:27" s="322" customFormat="1">
      <c r="A1135" s="312"/>
      <c r="B1135" s="76"/>
      <c r="C1135" s="76"/>
      <c r="D1135" s="330"/>
      <c r="E1135" s="331"/>
      <c r="F1135" s="331"/>
      <c r="G1135" s="331"/>
      <c r="H1135" s="331"/>
      <c r="I1135" s="331"/>
      <c r="J1135" s="331"/>
      <c r="K1135" s="331"/>
      <c r="L1135" s="331"/>
      <c r="M1135" s="331"/>
      <c r="N1135" s="303"/>
      <c r="O1135" s="304"/>
      <c r="P1135" s="312"/>
      <c r="Q1135" s="312"/>
      <c r="R1135" s="76"/>
      <c r="S1135" s="307"/>
      <c r="T1135" s="301"/>
      <c r="U1135" s="301"/>
      <c r="W1135" s="267"/>
      <c r="X1135" s="240"/>
      <c r="Y1135" s="268"/>
      <c r="Z1135" s="240"/>
      <c r="AA1135" s="241"/>
    </row>
    <row r="1136" spans="1:27" s="322" customFormat="1">
      <c r="A1136" s="312"/>
      <c r="B1136" s="76"/>
      <c r="C1136" s="76"/>
      <c r="D1136" s="330"/>
      <c r="E1136" s="331"/>
      <c r="F1136" s="331"/>
      <c r="G1136" s="331"/>
      <c r="H1136" s="331"/>
      <c r="I1136" s="331"/>
      <c r="J1136" s="331"/>
      <c r="K1136" s="331"/>
      <c r="L1136" s="331"/>
      <c r="M1136" s="331"/>
      <c r="N1136" s="303"/>
      <c r="O1136" s="304"/>
      <c r="P1136" s="312"/>
      <c r="Q1136" s="312"/>
      <c r="R1136" s="76"/>
      <c r="S1136" s="307"/>
      <c r="T1136" s="301"/>
      <c r="U1136" s="301"/>
      <c r="W1136" s="267"/>
      <c r="X1136" s="240"/>
      <c r="Y1136" s="268"/>
      <c r="Z1136" s="240"/>
      <c r="AA1136" s="241"/>
    </row>
    <row r="1137" spans="1:27" s="322" customFormat="1">
      <c r="A1137" s="312"/>
      <c r="B1137" s="76"/>
      <c r="C1137" s="76"/>
      <c r="D1137" s="330"/>
      <c r="E1137" s="331"/>
      <c r="F1137" s="331"/>
      <c r="G1137" s="331"/>
      <c r="H1137" s="331"/>
      <c r="I1137" s="331"/>
      <c r="J1137" s="331"/>
      <c r="K1137" s="331"/>
      <c r="L1137" s="331"/>
      <c r="M1137" s="331"/>
      <c r="N1137" s="303"/>
      <c r="O1137" s="304"/>
      <c r="P1137" s="312"/>
      <c r="Q1137" s="312"/>
      <c r="R1137" s="76"/>
      <c r="S1137" s="307"/>
      <c r="T1137" s="301"/>
      <c r="U1137" s="301"/>
      <c r="W1137" s="267"/>
      <c r="X1137" s="240"/>
      <c r="Y1137" s="268"/>
      <c r="Z1137" s="240"/>
      <c r="AA1137" s="241"/>
    </row>
    <row r="1138" spans="1:27" s="322" customFormat="1">
      <c r="A1138" s="312"/>
      <c r="B1138" s="76"/>
      <c r="C1138" s="76"/>
      <c r="D1138" s="330"/>
      <c r="E1138" s="331"/>
      <c r="F1138" s="331"/>
      <c r="G1138" s="331"/>
      <c r="H1138" s="331"/>
      <c r="I1138" s="331"/>
      <c r="J1138" s="331"/>
      <c r="K1138" s="331"/>
      <c r="L1138" s="331"/>
      <c r="M1138" s="331"/>
      <c r="N1138" s="303"/>
      <c r="O1138" s="304"/>
      <c r="P1138" s="312"/>
      <c r="Q1138" s="312"/>
      <c r="R1138" s="76"/>
      <c r="S1138" s="307"/>
      <c r="T1138" s="301"/>
      <c r="U1138" s="301"/>
      <c r="W1138" s="267"/>
      <c r="X1138" s="240"/>
      <c r="Y1138" s="268"/>
      <c r="Z1138" s="240"/>
      <c r="AA1138" s="241"/>
    </row>
    <row r="1139" spans="1:27" s="322" customFormat="1">
      <c r="A1139" s="312"/>
      <c r="B1139" s="76"/>
      <c r="C1139" s="76"/>
      <c r="D1139" s="330"/>
      <c r="E1139" s="331"/>
      <c r="F1139" s="331"/>
      <c r="G1139" s="331"/>
      <c r="H1139" s="331"/>
      <c r="I1139" s="331"/>
      <c r="J1139" s="331"/>
      <c r="K1139" s="331"/>
      <c r="L1139" s="331"/>
      <c r="M1139" s="331"/>
      <c r="N1139" s="303"/>
      <c r="O1139" s="304"/>
      <c r="P1139" s="312"/>
      <c r="Q1139" s="312"/>
      <c r="R1139" s="76"/>
      <c r="S1139" s="307"/>
      <c r="T1139" s="301"/>
      <c r="U1139" s="301"/>
      <c r="W1139" s="267"/>
      <c r="X1139" s="240"/>
      <c r="Y1139" s="268"/>
      <c r="Z1139" s="240"/>
      <c r="AA1139" s="241"/>
    </row>
    <row r="1140" spans="1:27" s="322" customFormat="1">
      <c r="A1140" s="312"/>
      <c r="B1140" s="76"/>
      <c r="C1140" s="76"/>
      <c r="D1140" s="330"/>
      <c r="E1140" s="331"/>
      <c r="F1140" s="331"/>
      <c r="G1140" s="331"/>
      <c r="H1140" s="331"/>
      <c r="I1140" s="331"/>
      <c r="J1140" s="331"/>
      <c r="K1140" s="331"/>
      <c r="L1140" s="331"/>
      <c r="M1140" s="331"/>
      <c r="N1140" s="303"/>
      <c r="O1140" s="304"/>
      <c r="P1140" s="312"/>
      <c r="Q1140" s="312"/>
      <c r="R1140" s="76"/>
      <c r="S1140" s="307"/>
      <c r="T1140" s="301"/>
      <c r="U1140" s="301"/>
      <c r="W1140" s="267"/>
      <c r="X1140" s="240"/>
      <c r="Y1140" s="268"/>
      <c r="Z1140" s="240"/>
      <c r="AA1140" s="241"/>
    </row>
    <row r="1141" spans="1:27" s="322" customFormat="1">
      <c r="A1141" s="312"/>
      <c r="B1141" s="76"/>
      <c r="C1141" s="76"/>
      <c r="D1141" s="330"/>
      <c r="E1141" s="331"/>
      <c r="F1141" s="331"/>
      <c r="G1141" s="331"/>
      <c r="H1141" s="331"/>
      <c r="I1141" s="331"/>
      <c r="J1141" s="331"/>
      <c r="K1141" s="331"/>
      <c r="L1141" s="331"/>
      <c r="M1141" s="331"/>
      <c r="N1141" s="303"/>
      <c r="O1141" s="304"/>
      <c r="P1141" s="312"/>
      <c r="Q1141" s="312"/>
      <c r="R1141" s="76"/>
      <c r="S1141" s="307"/>
      <c r="T1141" s="301"/>
      <c r="U1141" s="301"/>
      <c r="W1141" s="267"/>
      <c r="X1141" s="240"/>
      <c r="Y1141" s="268"/>
      <c r="Z1141" s="240"/>
      <c r="AA1141" s="241"/>
    </row>
    <row r="1142" spans="1:27" s="322" customFormat="1">
      <c r="A1142" s="312"/>
      <c r="B1142" s="76"/>
      <c r="C1142" s="76"/>
      <c r="D1142" s="330"/>
      <c r="E1142" s="331"/>
      <c r="F1142" s="331"/>
      <c r="G1142" s="331"/>
      <c r="H1142" s="331"/>
      <c r="I1142" s="331"/>
      <c r="J1142" s="331"/>
      <c r="K1142" s="331"/>
      <c r="L1142" s="331"/>
      <c r="M1142" s="331"/>
      <c r="N1142" s="303"/>
      <c r="O1142" s="304"/>
      <c r="P1142" s="312"/>
      <c r="Q1142" s="312"/>
      <c r="R1142" s="76"/>
      <c r="S1142" s="307"/>
      <c r="T1142" s="301"/>
      <c r="U1142" s="301"/>
      <c r="W1142" s="267"/>
      <c r="X1142" s="240"/>
      <c r="Y1142" s="268"/>
      <c r="Z1142" s="240"/>
      <c r="AA1142" s="241"/>
    </row>
    <row r="1143" spans="1:27" s="322" customFormat="1">
      <c r="A1143" s="312"/>
      <c r="B1143" s="76"/>
      <c r="C1143" s="76"/>
      <c r="D1143" s="330"/>
      <c r="E1143" s="331"/>
      <c r="F1143" s="331"/>
      <c r="G1143" s="331"/>
      <c r="H1143" s="331"/>
      <c r="I1143" s="331"/>
      <c r="J1143" s="331"/>
      <c r="K1143" s="331"/>
      <c r="L1143" s="331"/>
      <c r="M1143" s="331"/>
      <c r="N1143" s="303"/>
      <c r="O1143" s="304"/>
      <c r="P1143" s="312"/>
      <c r="Q1143" s="312"/>
      <c r="R1143" s="76"/>
      <c r="S1143" s="307"/>
      <c r="T1143" s="301"/>
      <c r="U1143" s="301"/>
      <c r="W1143" s="267"/>
      <c r="X1143" s="240"/>
      <c r="Y1143" s="268"/>
      <c r="Z1143" s="240"/>
      <c r="AA1143" s="241"/>
    </row>
    <row r="1144" spans="1:27" s="322" customFormat="1">
      <c r="A1144" s="312"/>
      <c r="B1144" s="76"/>
      <c r="C1144" s="76"/>
      <c r="D1144" s="330"/>
      <c r="E1144" s="331"/>
      <c r="F1144" s="331"/>
      <c r="G1144" s="331"/>
      <c r="H1144" s="331"/>
      <c r="I1144" s="331"/>
      <c r="J1144" s="331"/>
      <c r="K1144" s="331"/>
      <c r="L1144" s="331"/>
      <c r="M1144" s="331"/>
      <c r="N1144" s="303"/>
      <c r="O1144" s="304"/>
      <c r="P1144" s="312"/>
      <c r="Q1144" s="312"/>
      <c r="R1144" s="76"/>
      <c r="S1144" s="307"/>
      <c r="T1144" s="301"/>
      <c r="U1144" s="301"/>
      <c r="W1144" s="267"/>
      <c r="X1144" s="240"/>
      <c r="Y1144" s="268"/>
      <c r="Z1144" s="240"/>
      <c r="AA1144" s="241"/>
    </row>
    <row r="1145" spans="1:27" s="322" customFormat="1">
      <c r="A1145" s="312"/>
      <c r="B1145" s="76"/>
      <c r="C1145" s="76"/>
      <c r="D1145" s="330"/>
      <c r="E1145" s="331"/>
      <c r="F1145" s="331"/>
      <c r="G1145" s="331"/>
      <c r="H1145" s="331"/>
      <c r="I1145" s="331"/>
      <c r="J1145" s="331"/>
      <c r="K1145" s="331"/>
      <c r="L1145" s="331"/>
      <c r="M1145" s="331"/>
      <c r="N1145" s="303"/>
      <c r="O1145" s="304"/>
      <c r="P1145" s="312"/>
      <c r="Q1145" s="312"/>
      <c r="R1145" s="76"/>
      <c r="S1145" s="307"/>
      <c r="T1145" s="301"/>
      <c r="U1145" s="301"/>
      <c r="W1145" s="267"/>
      <c r="X1145" s="240"/>
      <c r="Y1145" s="268"/>
      <c r="Z1145" s="240"/>
      <c r="AA1145" s="241"/>
    </row>
    <row r="1146" spans="1:27" s="322" customFormat="1">
      <c r="A1146" s="312"/>
      <c r="B1146" s="76"/>
      <c r="C1146" s="76"/>
      <c r="D1146" s="330"/>
      <c r="E1146" s="331"/>
      <c r="F1146" s="331"/>
      <c r="G1146" s="331"/>
      <c r="H1146" s="331"/>
      <c r="I1146" s="331"/>
      <c r="J1146" s="331"/>
      <c r="K1146" s="331"/>
      <c r="L1146" s="331"/>
      <c r="M1146" s="331"/>
      <c r="N1146" s="303"/>
      <c r="O1146" s="304"/>
      <c r="P1146" s="312"/>
      <c r="Q1146" s="312"/>
      <c r="R1146" s="76"/>
      <c r="S1146" s="307"/>
      <c r="T1146" s="301"/>
      <c r="U1146" s="301"/>
      <c r="W1146" s="267"/>
      <c r="X1146" s="240"/>
      <c r="Y1146" s="268"/>
      <c r="Z1146" s="240"/>
      <c r="AA1146" s="241"/>
    </row>
    <row r="1147" spans="1:27" s="322" customFormat="1">
      <c r="A1147" s="312"/>
      <c r="B1147" s="76"/>
      <c r="C1147" s="76"/>
      <c r="D1147" s="330"/>
      <c r="E1147" s="331"/>
      <c r="F1147" s="331"/>
      <c r="G1147" s="331"/>
      <c r="H1147" s="331"/>
      <c r="I1147" s="331"/>
      <c r="J1147" s="331"/>
      <c r="K1147" s="331"/>
      <c r="L1147" s="331"/>
      <c r="M1147" s="331"/>
      <c r="N1147" s="303"/>
      <c r="O1147" s="304"/>
      <c r="P1147" s="312"/>
      <c r="Q1147" s="312"/>
      <c r="R1147" s="76"/>
      <c r="S1147" s="307"/>
      <c r="T1147" s="301"/>
      <c r="U1147" s="301"/>
      <c r="W1147" s="267"/>
      <c r="X1147" s="240"/>
      <c r="Y1147" s="268"/>
      <c r="Z1147" s="240"/>
      <c r="AA1147" s="241"/>
    </row>
    <row r="1148" spans="1:27" s="322" customFormat="1">
      <c r="A1148" s="312"/>
      <c r="B1148" s="76"/>
      <c r="C1148" s="76"/>
      <c r="D1148" s="330"/>
      <c r="E1148" s="331"/>
      <c r="F1148" s="331"/>
      <c r="G1148" s="331"/>
      <c r="H1148" s="331"/>
      <c r="I1148" s="331"/>
      <c r="J1148" s="331"/>
      <c r="K1148" s="331"/>
      <c r="L1148" s="331"/>
      <c r="M1148" s="331"/>
      <c r="N1148" s="303"/>
      <c r="O1148" s="304"/>
      <c r="P1148" s="312"/>
      <c r="Q1148" s="312"/>
      <c r="R1148" s="76"/>
      <c r="S1148" s="307"/>
      <c r="T1148" s="301"/>
      <c r="U1148" s="301"/>
      <c r="W1148" s="267"/>
      <c r="X1148" s="240"/>
      <c r="Y1148" s="268"/>
      <c r="Z1148" s="240"/>
      <c r="AA1148" s="241"/>
    </row>
    <row r="1149" spans="1:27" s="322" customFormat="1">
      <c r="A1149" s="312"/>
      <c r="B1149" s="76"/>
      <c r="C1149" s="76"/>
      <c r="D1149" s="330"/>
      <c r="E1149" s="331"/>
      <c r="F1149" s="331"/>
      <c r="G1149" s="331"/>
      <c r="H1149" s="331"/>
      <c r="I1149" s="331"/>
      <c r="J1149" s="331"/>
      <c r="K1149" s="331"/>
      <c r="L1149" s="331"/>
      <c r="M1149" s="331"/>
      <c r="N1149" s="303"/>
      <c r="O1149" s="304"/>
      <c r="P1149" s="312"/>
      <c r="Q1149" s="312"/>
      <c r="R1149" s="76"/>
      <c r="S1149" s="307"/>
      <c r="T1149" s="301"/>
      <c r="U1149" s="301"/>
      <c r="W1149" s="267"/>
      <c r="X1149" s="240"/>
      <c r="Y1149" s="268"/>
      <c r="Z1149" s="240"/>
      <c r="AA1149" s="241"/>
    </row>
    <row r="1150" spans="1:27" s="322" customFormat="1">
      <c r="A1150" s="312"/>
      <c r="B1150" s="76"/>
      <c r="C1150" s="76"/>
      <c r="D1150" s="330"/>
      <c r="E1150" s="331"/>
      <c r="F1150" s="331"/>
      <c r="G1150" s="331"/>
      <c r="H1150" s="331"/>
      <c r="I1150" s="331"/>
      <c r="J1150" s="331"/>
      <c r="K1150" s="331"/>
      <c r="L1150" s="331"/>
      <c r="M1150" s="331"/>
      <c r="N1150" s="303"/>
      <c r="O1150" s="304"/>
      <c r="P1150" s="312"/>
      <c r="Q1150" s="312"/>
      <c r="R1150" s="76"/>
      <c r="S1150" s="307"/>
      <c r="T1150" s="301"/>
      <c r="U1150" s="301"/>
      <c r="W1150" s="267"/>
      <c r="X1150" s="240"/>
      <c r="Y1150" s="268"/>
      <c r="Z1150" s="240"/>
      <c r="AA1150" s="241"/>
    </row>
    <row r="1151" spans="1:27" s="322" customFormat="1">
      <c r="A1151" s="312"/>
      <c r="B1151" s="76"/>
      <c r="C1151" s="76"/>
      <c r="D1151" s="330"/>
      <c r="E1151" s="331"/>
      <c r="F1151" s="331"/>
      <c r="G1151" s="331"/>
      <c r="H1151" s="331"/>
      <c r="I1151" s="331"/>
      <c r="J1151" s="331"/>
      <c r="K1151" s="331"/>
      <c r="L1151" s="331"/>
      <c r="M1151" s="331"/>
      <c r="N1151" s="303"/>
      <c r="O1151" s="304"/>
      <c r="P1151" s="312"/>
      <c r="Q1151" s="312"/>
      <c r="R1151" s="76"/>
      <c r="S1151" s="307"/>
      <c r="T1151" s="301"/>
      <c r="U1151" s="301"/>
      <c r="W1151" s="267"/>
      <c r="X1151" s="240"/>
      <c r="Y1151" s="268"/>
      <c r="Z1151" s="240"/>
      <c r="AA1151" s="241"/>
    </row>
    <row r="1152" spans="1:27" s="322" customFormat="1">
      <c r="A1152" s="312"/>
      <c r="B1152" s="76"/>
      <c r="C1152" s="76"/>
      <c r="D1152" s="330"/>
      <c r="E1152" s="331"/>
      <c r="F1152" s="331"/>
      <c r="G1152" s="331"/>
      <c r="H1152" s="331"/>
      <c r="I1152" s="331"/>
      <c r="J1152" s="331"/>
      <c r="K1152" s="331"/>
      <c r="L1152" s="331"/>
      <c r="M1152" s="331"/>
      <c r="N1152" s="303"/>
      <c r="O1152" s="304"/>
      <c r="P1152" s="312"/>
      <c r="Q1152" s="312"/>
      <c r="R1152" s="76"/>
      <c r="S1152" s="307"/>
      <c r="T1152" s="301"/>
      <c r="U1152" s="301"/>
      <c r="W1152" s="267"/>
      <c r="X1152" s="240"/>
      <c r="Y1152" s="268"/>
      <c r="Z1152" s="240"/>
      <c r="AA1152" s="241"/>
    </row>
    <row r="1153" spans="1:27" s="322" customFormat="1">
      <c r="A1153" s="312"/>
      <c r="B1153" s="76"/>
      <c r="C1153" s="76"/>
      <c r="D1153" s="330"/>
      <c r="E1153" s="331"/>
      <c r="F1153" s="331"/>
      <c r="G1153" s="331"/>
      <c r="H1153" s="331"/>
      <c r="I1153" s="331"/>
      <c r="J1153" s="331"/>
      <c r="K1153" s="331"/>
      <c r="L1153" s="331"/>
      <c r="M1153" s="331"/>
      <c r="N1153" s="303"/>
      <c r="O1153" s="304"/>
      <c r="P1153" s="312"/>
      <c r="Q1153" s="312"/>
      <c r="R1153" s="76"/>
      <c r="S1153" s="307"/>
      <c r="T1153" s="301"/>
      <c r="U1153" s="301"/>
      <c r="W1153" s="267"/>
      <c r="X1153" s="240"/>
      <c r="Y1153" s="268"/>
      <c r="Z1153" s="240"/>
      <c r="AA1153" s="241"/>
    </row>
    <row r="1154" spans="1:27" s="322" customFormat="1">
      <c r="A1154" s="312"/>
      <c r="B1154" s="76"/>
      <c r="C1154" s="76"/>
      <c r="D1154" s="330"/>
      <c r="E1154" s="331"/>
      <c r="F1154" s="331"/>
      <c r="G1154" s="331"/>
      <c r="H1154" s="331"/>
      <c r="I1154" s="331"/>
      <c r="J1154" s="331"/>
      <c r="K1154" s="331"/>
      <c r="L1154" s="331"/>
      <c r="M1154" s="331"/>
      <c r="N1154" s="303"/>
      <c r="O1154" s="304"/>
      <c r="P1154" s="312"/>
      <c r="Q1154" s="312"/>
      <c r="R1154" s="76"/>
      <c r="S1154" s="307"/>
      <c r="T1154" s="301"/>
      <c r="U1154" s="301"/>
      <c r="W1154" s="267"/>
      <c r="X1154" s="240"/>
      <c r="Y1154" s="268"/>
      <c r="Z1154" s="240"/>
      <c r="AA1154" s="241"/>
    </row>
    <row r="1155" spans="1:27" s="322" customFormat="1">
      <c r="A1155" s="312"/>
      <c r="B1155" s="76"/>
      <c r="C1155" s="76"/>
      <c r="D1155" s="330"/>
      <c r="E1155" s="331"/>
      <c r="F1155" s="331"/>
      <c r="G1155" s="331"/>
      <c r="H1155" s="331"/>
      <c r="I1155" s="331"/>
      <c r="J1155" s="331"/>
      <c r="K1155" s="331"/>
      <c r="L1155" s="331"/>
      <c r="M1155" s="331"/>
      <c r="N1155" s="303"/>
      <c r="O1155" s="304"/>
      <c r="P1155" s="312"/>
      <c r="Q1155" s="314"/>
      <c r="R1155" s="315"/>
      <c r="S1155" s="307"/>
      <c r="T1155" s="301"/>
      <c r="U1155" s="301"/>
      <c r="W1155" s="267"/>
      <c r="X1155" s="240"/>
      <c r="Y1155" s="268"/>
      <c r="Z1155" s="240"/>
      <c r="AA1155" s="241"/>
    </row>
    <row r="1156" spans="1:27" s="322" customFormat="1">
      <c r="A1156" s="312"/>
      <c r="B1156" s="76"/>
      <c r="C1156" s="76"/>
      <c r="D1156" s="330"/>
      <c r="E1156" s="331"/>
      <c r="F1156" s="331"/>
      <c r="G1156" s="331"/>
      <c r="H1156" s="331"/>
      <c r="I1156" s="331"/>
      <c r="J1156" s="331"/>
      <c r="K1156" s="331"/>
      <c r="L1156" s="331"/>
      <c r="M1156" s="331"/>
      <c r="N1156" s="303"/>
      <c r="O1156" s="304"/>
      <c r="P1156" s="312"/>
      <c r="Q1156" s="314"/>
      <c r="R1156" s="315"/>
      <c r="S1156" s="307"/>
      <c r="T1156" s="301"/>
      <c r="U1156" s="301"/>
      <c r="W1156" s="267"/>
      <c r="X1156" s="240"/>
      <c r="Y1156" s="268"/>
      <c r="Z1156" s="240"/>
      <c r="AA1156" s="241"/>
    </row>
    <row r="1157" spans="1:27" s="322" customFormat="1">
      <c r="A1157" s="312"/>
      <c r="B1157" s="76"/>
      <c r="C1157" s="76"/>
      <c r="D1157" s="330"/>
      <c r="E1157" s="331"/>
      <c r="F1157" s="331"/>
      <c r="G1157" s="331"/>
      <c r="H1157" s="331"/>
      <c r="I1157" s="331"/>
      <c r="J1157" s="331"/>
      <c r="K1157" s="331"/>
      <c r="L1157" s="331"/>
      <c r="M1157" s="331"/>
      <c r="N1157" s="303"/>
      <c r="O1157" s="304"/>
      <c r="P1157" s="312"/>
      <c r="Q1157" s="314"/>
      <c r="R1157" s="315"/>
      <c r="S1157" s="307"/>
      <c r="T1157" s="301"/>
      <c r="U1157" s="301"/>
      <c r="W1157" s="267"/>
      <c r="X1157" s="240"/>
      <c r="Y1157" s="268"/>
      <c r="Z1157" s="240"/>
      <c r="AA1157" s="241"/>
    </row>
    <row r="1158" spans="1:27" s="322" customFormat="1">
      <c r="A1158" s="312"/>
      <c r="B1158" s="76"/>
      <c r="C1158" s="76"/>
      <c r="D1158" s="330"/>
      <c r="E1158" s="331"/>
      <c r="F1158" s="331"/>
      <c r="G1158" s="331"/>
      <c r="H1158" s="331"/>
      <c r="I1158" s="331"/>
      <c r="J1158" s="331"/>
      <c r="K1158" s="331"/>
      <c r="L1158" s="331"/>
      <c r="M1158" s="331"/>
      <c r="N1158" s="303"/>
      <c r="O1158" s="304"/>
      <c r="P1158" s="312"/>
      <c r="Q1158" s="314"/>
      <c r="R1158" s="315"/>
      <c r="S1158" s="307"/>
      <c r="T1158" s="301"/>
      <c r="U1158" s="301"/>
      <c r="W1158" s="267"/>
      <c r="X1158" s="240"/>
      <c r="Y1158" s="268"/>
      <c r="Z1158" s="240"/>
      <c r="AA1158" s="241"/>
    </row>
    <row r="1159" spans="1:27" s="322" customFormat="1">
      <c r="A1159" s="312"/>
      <c r="B1159" s="76"/>
      <c r="C1159" s="76"/>
      <c r="D1159" s="330"/>
      <c r="E1159" s="331"/>
      <c r="F1159" s="331"/>
      <c r="G1159" s="331"/>
      <c r="H1159" s="331"/>
      <c r="I1159" s="331"/>
      <c r="J1159" s="331"/>
      <c r="K1159" s="331"/>
      <c r="L1159" s="331"/>
      <c r="M1159" s="331"/>
      <c r="N1159" s="303"/>
      <c r="O1159" s="304"/>
      <c r="P1159" s="312"/>
      <c r="Q1159" s="314"/>
      <c r="R1159" s="315"/>
      <c r="S1159" s="307"/>
      <c r="T1159" s="301"/>
      <c r="U1159" s="301"/>
      <c r="W1159" s="267"/>
      <c r="X1159" s="240"/>
      <c r="Y1159" s="268"/>
      <c r="Z1159" s="240"/>
      <c r="AA1159" s="241"/>
    </row>
    <row r="1160" spans="1:27" s="322" customFormat="1">
      <c r="A1160" s="312"/>
      <c r="B1160" s="76"/>
      <c r="C1160" s="76"/>
      <c r="D1160" s="330"/>
      <c r="E1160" s="331"/>
      <c r="F1160" s="331"/>
      <c r="G1160" s="331"/>
      <c r="H1160" s="331"/>
      <c r="I1160" s="331"/>
      <c r="J1160" s="331"/>
      <c r="K1160" s="331"/>
      <c r="L1160" s="331"/>
      <c r="M1160" s="331"/>
      <c r="N1160" s="303"/>
      <c r="O1160" s="304"/>
      <c r="P1160" s="312"/>
      <c r="Q1160" s="314"/>
      <c r="R1160" s="315"/>
      <c r="S1160" s="307"/>
      <c r="T1160" s="301"/>
      <c r="U1160" s="301"/>
      <c r="W1160" s="267"/>
      <c r="X1160" s="240"/>
      <c r="Y1160" s="268"/>
      <c r="Z1160" s="240"/>
      <c r="AA1160" s="241"/>
    </row>
    <row r="1161" spans="1:27" s="322" customFormat="1">
      <c r="A1161" s="312"/>
      <c r="B1161" s="76"/>
      <c r="C1161" s="76"/>
      <c r="D1161" s="330"/>
      <c r="E1161" s="331"/>
      <c r="F1161" s="331"/>
      <c r="G1161" s="331"/>
      <c r="H1161" s="331"/>
      <c r="I1161" s="331"/>
      <c r="J1161" s="331"/>
      <c r="K1161" s="331"/>
      <c r="L1161" s="331"/>
      <c r="M1161" s="331"/>
      <c r="N1161" s="303"/>
      <c r="O1161" s="304"/>
      <c r="P1161" s="312"/>
      <c r="Q1161" s="314"/>
      <c r="R1161" s="315"/>
      <c r="S1161" s="307"/>
      <c r="T1161" s="301"/>
      <c r="U1161" s="301"/>
      <c r="W1161" s="267"/>
      <c r="X1161" s="240"/>
      <c r="Y1161" s="268"/>
      <c r="Z1161" s="240"/>
      <c r="AA1161" s="241"/>
    </row>
    <row r="1162" spans="1:27" s="322" customFormat="1">
      <c r="A1162" s="312"/>
      <c r="B1162" s="76"/>
      <c r="C1162" s="76"/>
      <c r="D1162" s="330"/>
      <c r="E1162" s="331"/>
      <c r="F1162" s="331"/>
      <c r="G1162" s="331"/>
      <c r="H1162" s="331"/>
      <c r="I1162" s="331"/>
      <c r="J1162" s="331"/>
      <c r="K1162" s="331"/>
      <c r="L1162" s="331"/>
      <c r="M1162" s="331"/>
      <c r="N1162" s="303"/>
      <c r="O1162" s="304"/>
      <c r="P1162" s="312"/>
      <c r="Q1162" s="314"/>
      <c r="R1162" s="315"/>
      <c r="S1162" s="307"/>
      <c r="T1162" s="301"/>
      <c r="U1162" s="301"/>
      <c r="W1162" s="267"/>
      <c r="X1162" s="240"/>
      <c r="Y1162" s="268"/>
      <c r="Z1162" s="240"/>
      <c r="AA1162" s="241"/>
    </row>
    <row r="1163" spans="1:27" s="322" customFormat="1">
      <c r="A1163" s="312"/>
      <c r="B1163" s="76"/>
      <c r="C1163" s="76"/>
      <c r="D1163" s="330"/>
      <c r="E1163" s="331"/>
      <c r="F1163" s="331"/>
      <c r="G1163" s="331"/>
      <c r="H1163" s="331"/>
      <c r="I1163" s="331"/>
      <c r="J1163" s="331"/>
      <c r="K1163" s="331"/>
      <c r="L1163" s="331"/>
      <c r="M1163" s="331"/>
      <c r="N1163" s="303"/>
      <c r="O1163" s="304"/>
      <c r="P1163" s="312"/>
      <c r="Q1163" s="314"/>
      <c r="R1163" s="315"/>
      <c r="S1163" s="307"/>
      <c r="T1163" s="301"/>
      <c r="U1163" s="301"/>
      <c r="W1163" s="267"/>
      <c r="X1163" s="240"/>
      <c r="Y1163" s="268"/>
      <c r="Z1163" s="240"/>
      <c r="AA1163" s="241"/>
    </row>
    <row r="1164" spans="1:27" s="322" customFormat="1">
      <c r="A1164" s="312"/>
      <c r="B1164" s="76"/>
      <c r="C1164" s="76"/>
      <c r="D1164" s="330"/>
      <c r="E1164" s="331"/>
      <c r="F1164" s="331"/>
      <c r="G1164" s="331"/>
      <c r="H1164" s="331"/>
      <c r="I1164" s="331"/>
      <c r="J1164" s="331"/>
      <c r="K1164" s="331"/>
      <c r="L1164" s="331"/>
      <c r="M1164" s="331"/>
      <c r="N1164" s="303"/>
      <c r="O1164" s="304"/>
      <c r="P1164" s="312"/>
      <c r="Q1164" s="314"/>
      <c r="R1164" s="315"/>
      <c r="S1164" s="307"/>
      <c r="T1164" s="301"/>
      <c r="U1164" s="301"/>
      <c r="W1164" s="267"/>
      <c r="X1164" s="240"/>
      <c r="Y1164" s="268"/>
      <c r="Z1164" s="240"/>
      <c r="AA1164" s="241"/>
    </row>
    <row r="1165" spans="1:27" s="322" customFormat="1">
      <c r="A1165" s="312"/>
      <c r="B1165" s="76"/>
      <c r="C1165" s="76"/>
      <c r="D1165" s="330"/>
      <c r="E1165" s="331"/>
      <c r="F1165" s="331"/>
      <c r="G1165" s="331"/>
      <c r="H1165" s="331"/>
      <c r="I1165" s="331"/>
      <c r="J1165" s="331"/>
      <c r="K1165" s="331"/>
      <c r="L1165" s="331"/>
      <c r="M1165" s="331"/>
      <c r="N1165" s="303"/>
      <c r="O1165" s="304"/>
      <c r="P1165" s="312"/>
      <c r="Q1165" s="314"/>
      <c r="R1165" s="315"/>
      <c r="S1165" s="307"/>
      <c r="T1165" s="301"/>
      <c r="U1165" s="301"/>
      <c r="W1165" s="267"/>
      <c r="X1165" s="240"/>
      <c r="Y1165" s="268"/>
      <c r="Z1165" s="240"/>
      <c r="AA1165" s="241"/>
    </row>
    <row r="1166" spans="1:27" s="322" customFormat="1">
      <c r="A1166" s="312"/>
      <c r="B1166" s="76"/>
      <c r="C1166" s="76"/>
      <c r="D1166" s="330"/>
      <c r="E1166" s="331"/>
      <c r="F1166" s="331"/>
      <c r="G1166" s="331"/>
      <c r="H1166" s="331"/>
      <c r="I1166" s="331"/>
      <c r="J1166" s="331"/>
      <c r="K1166" s="331"/>
      <c r="L1166" s="331"/>
      <c r="M1166" s="331"/>
      <c r="N1166" s="303"/>
      <c r="O1166" s="304"/>
      <c r="P1166" s="312"/>
      <c r="Q1166" s="314"/>
      <c r="R1166" s="315"/>
      <c r="S1166" s="307"/>
      <c r="T1166" s="301"/>
      <c r="U1166" s="301"/>
      <c r="W1166" s="267"/>
      <c r="X1166" s="240"/>
      <c r="Y1166" s="268"/>
      <c r="Z1166" s="240"/>
      <c r="AA1166" s="241"/>
    </row>
    <row r="1167" spans="1:27" s="322" customFormat="1">
      <c r="A1167" s="312"/>
      <c r="B1167" s="76"/>
      <c r="C1167" s="76"/>
      <c r="D1167" s="330"/>
      <c r="E1167" s="331"/>
      <c r="F1167" s="331"/>
      <c r="G1167" s="331"/>
      <c r="H1167" s="331"/>
      <c r="I1167" s="331"/>
      <c r="J1167" s="331"/>
      <c r="K1167" s="331"/>
      <c r="L1167" s="331"/>
      <c r="M1167" s="331"/>
      <c r="N1167" s="303"/>
      <c r="O1167" s="304"/>
      <c r="P1167" s="312"/>
      <c r="Q1167" s="314"/>
      <c r="R1167" s="315"/>
      <c r="S1167" s="307"/>
      <c r="T1167" s="301"/>
      <c r="U1167" s="301"/>
      <c r="W1167" s="267"/>
      <c r="X1167" s="240"/>
      <c r="Y1167" s="268"/>
      <c r="Z1167" s="240"/>
      <c r="AA1167" s="241"/>
    </row>
    <row r="1168" spans="1:27" s="322" customFormat="1">
      <c r="A1168" s="312"/>
      <c r="B1168" s="76"/>
      <c r="C1168" s="76"/>
      <c r="D1168" s="330"/>
      <c r="E1168" s="331"/>
      <c r="F1168" s="331"/>
      <c r="G1168" s="331"/>
      <c r="H1168" s="331"/>
      <c r="I1168" s="331"/>
      <c r="J1168" s="331"/>
      <c r="K1168" s="331"/>
      <c r="L1168" s="331"/>
      <c r="M1168" s="331"/>
      <c r="N1168" s="303"/>
      <c r="O1168" s="304"/>
      <c r="P1168" s="312"/>
      <c r="Q1168" s="314"/>
      <c r="R1168" s="315"/>
      <c r="S1168" s="307"/>
      <c r="T1168" s="301"/>
      <c r="U1168" s="301"/>
      <c r="W1168" s="267"/>
      <c r="X1168" s="240"/>
      <c r="Y1168" s="268"/>
      <c r="Z1168" s="240"/>
      <c r="AA1168" s="241"/>
    </row>
    <row r="1169" spans="1:27" s="322" customFormat="1">
      <c r="A1169" s="312"/>
      <c r="B1169" s="76"/>
      <c r="C1169" s="76"/>
      <c r="D1169" s="330"/>
      <c r="E1169" s="331"/>
      <c r="F1169" s="331"/>
      <c r="G1169" s="331"/>
      <c r="H1169" s="331"/>
      <c r="I1169" s="331"/>
      <c r="J1169" s="331"/>
      <c r="K1169" s="331"/>
      <c r="L1169" s="331"/>
      <c r="M1169" s="331"/>
      <c r="N1169" s="303"/>
      <c r="O1169" s="304"/>
      <c r="P1169" s="312"/>
      <c r="Q1169" s="314"/>
      <c r="R1169" s="315"/>
      <c r="S1169" s="307"/>
      <c r="T1169" s="301"/>
      <c r="U1169" s="301"/>
      <c r="W1169" s="267"/>
      <c r="X1169" s="240"/>
      <c r="Y1169" s="268"/>
      <c r="Z1169" s="240"/>
      <c r="AA1169" s="241"/>
    </row>
    <row r="1170" spans="1:27" s="322" customFormat="1">
      <c r="A1170" s="312"/>
      <c r="B1170" s="76"/>
      <c r="C1170" s="76"/>
      <c r="D1170" s="330"/>
      <c r="E1170" s="331"/>
      <c r="F1170" s="331"/>
      <c r="G1170" s="331"/>
      <c r="H1170" s="331"/>
      <c r="I1170" s="331"/>
      <c r="J1170" s="331"/>
      <c r="K1170" s="331"/>
      <c r="L1170" s="331"/>
      <c r="M1170" s="331"/>
      <c r="N1170" s="303"/>
      <c r="O1170" s="304"/>
      <c r="P1170" s="312"/>
      <c r="Q1170" s="314"/>
      <c r="R1170" s="315"/>
      <c r="S1170" s="307"/>
      <c r="T1170" s="301"/>
      <c r="U1170" s="301"/>
      <c r="W1170" s="267"/>
      <c r="X1170" s="240"/>
      <c r="Y1170" s="268"/>
      <c r="Z1170" s="240"/>
      <c r="AA1170" s="241"/>
    </row>
    <row r="1171" spans="1:27" s="322" customFormat="1">
      <c r="A1171" s="312"/>
      <c r="B1171" s="76"/>
      <c r="C1171" s="76"/>
      <c r="D1171" s="330"/>
      <c r="E1171" s="331"/>
      <c r="F1171" s="331"/>
      <c r="G1171" s="331"/>
      <c r="H1171" s="331"/>
      <c r="I1171" s="331"/>
      <c r="J1171" s="331"/>
      <c r="K1171" s="331"/>
      <c r="L1171" s="331"/>
      <c r="M1171" s="331"/>
      <c r="N1171" s="303"/>
      <c r="O1171" s="304"/>
      <c r="P1171" s="312"/>
      <c r="Q1171" s="314"/>
      <c r="R1171" s="315"/>
      <c r="S1171" s="307"/>
      <c r="T1171" s="301"/>
      <c r="U1171" s="301"/>
      <c r="W1171" s="267"/>
      <c r="X1171" s="240"/>
      <c r="Y1171" s="268"/>
      <c r="Z1171" s="240"/>
      <c r="AA1171" s="241"/>
    </row>
    <row r="1172" spans="1:27" s="322" customFormat="1">
      <c r="A1172" s="312"/>
      <c r="B1172" s="76"/>
      <c r="C1172" s="76"/>
      <c r="D1172" s="330"/>
      <c r="E1172" s="331"/>
      <c r="F1172" s="331"/>
      <c r="G1172" s="331"/>
      <c r="H1172" s="331"/>
      <c r="I1172" s="331"/>
      <c r="J1172" s="331"/>
      <c r="K1172" s="331"/>
      <c r="L1172" s="331"/>
      <c r="M1172" s="331"/>
      <c r="N1172" s="303"/>
      <c r="O1172" s="304"/>
      <c r="P1172" s="312"/>
      <c r="Q1172" s="314"/>
      <c r="R1172" s="315"/>
      <c r="S1172" s="307"/>
      <c r="T1172" s="301"/>
      <c r="U1172" s="301"/>
      <c r="W1172" s="267"/>
      <c r="X1172" s="240"/>
      <c r="Y1172" s="268"/>
      <c r="Z1172" s="240"/>
      <c r="AA1172" s="241"/>
    </row>
    <row r="1173" spans="1:27" s="322" customFormat="1">
      <c r="A1173" s="312"/>
      <c r="B1173" s="76"/>
      <c r="C1173" s="76"/>
      <c r="D1173" s="330"/>
      <c r="E1173" s="331"/>
      <c r="F1173" s="331"/>
      <c r="G1173" s="331"/>
      <c r="H1173" s="331"/>
      <c r="I1173" s="331"/>
      <c r="J1173" s="331"/>
      <c r="K1173" s="331"/>
      <c r="L1173" s="331"/>
      <c r="M1173" s="331"/>
      <c r="N1173" s="303"/>
      <c r="O1173" s="304"/>
      <c r="P1173" s="312"/>
      <c r="Q1173" s="314"/>
      <c r="R1173" s="315"/>
      <c r="S1173" s="307"/>
      <c r="T1173" s="301"/>
      <c r="U1173" s="301"/>
      <c r="W1173" s="267"/>
      <c r="X1173" s="240"/>
      <c r="Y1173" s="268"/>
      <c r="Z1173" s="240"/>
      <c r="AA1173" s="241"/>
    </row>
    <row r="1174" spans="1:27" s="322" customFormat="1">
      <c r="A1174" s="312"/>
      <c r="B1174" s="76"/>
      <c r="C1174" s="76"/>
      <c r="D1174" s="330"/>
      <c r="E1174" s="331"/>
      <c r="F1174" s="331"/>
      <c r="G1174" s="331"/>
      <c r="H1174" s="331"/>
      <c r="I1174" s="331"/>
      <c r="J1174" s="331"/>
      <c r="K1174" s="331"/>
      <c r="L1174" s="331"/>
      <c r="M1174" s="331"/>
      <c r="N1174" s="303"/>
      <c r="O1174" s="304"/>
      <c r="P1174" s="312"/>
      <c r="Q1174" s="314"/>
      <c r="R1174" s="315"/>
      <c r="S1174" s="307"/>
      <c r="T1174" s="301"/>
      <c r="U1174" s="301"/>
      <c r="W1174" s="267"/>
      <c r="X1174" s="240"/>
      <c r="Y1174" s="268"/>
      <c r="Z1174" s="240"/>
      <c r="AA1174" s="241"/>
    </row>
    <row r="1175" spans="1:27" s="322" customFormat="1">
      <c r="A1175" s="312"/>
      <c r="B1175" s="76"/>
      <c r="C1175" s="76"/>
      <c r="D1175" s="330"/>
      <c r="E1175" s="331"/>
      <c r="F1175" s="331"/>
      <c r="G1175" s="331"/>
      <c r="H1175" s="331"/>
      <c r="I1175" s="331"/>
      <c r="J1175" s="331"/>
      <c r="K1175" s="331"/>
      <c r="L1175" s="331"/>
      <c r="M1175" s="331"/>
      <c r="N1175" s="303"/>
      <c r="O1175" s="304"/>
      <c r="P1175" s="312"/>
      <c r="Q1175" s="312"/>
      <c r="R1175" s="76"/>
      <c r="S1175" s="307"/>
      <c r="T1175" s="301"/>
      <c r="U1175" s="301"/>
      <c r="W1175" s="267"/>
      <c r="X1175" s="240"/>
      <c r="Y1175" s="268"/>
      <c r="Z1175" s="240"/>
      <c r="AA1175" s="241"/>
    </row>
    <row r="1176" spans="1:27" s="322" customFormat="1">
      <c r="A1176" s="312"/>
      <c r="B1176" s="76"/>
      <c r="C1176" s="76"/>
      <c r="D1176" s="330"/>
      <c r="E1176" s="331"/>
      <c r="F1176" s="331"/>
      <c r="G1176" s="331"/>
      <c r="H1176" s="331"/>
      <c r="I1176" s="331"/>
      <c r="J1176" s="331"/>
      <c r="K1176" s="331"/>
      <c r="L1176" s="331"/>
      <c r="M1176" s="331"/>
      <c r="N1176" s="303"/>
      <c r="O1176" s="304"/>
      <c r="P1176" s="312"/>
      <c r="Q1176" s="312"/>
      <c r="R1176" s="76"/>
      <c r="S1176" s="307"/>
      <c r="T1176" s="301"/>
      <c r="U1176" s="301"/>
      <c r="W1176" s="267"/>
      <c r="X1176" s="240"/>
      <c r="Y1176" s="268"/>
      <c r="Z1176" s="240"/>
      <c r="AA1176" s="241"/>
    </row>
    <row r="1177" spans="1:27" s="322" customFormat="1">
      <c r="A1177" s="312"/>
      <c r="B1177" s="76"/>
      <c r="C1177" s="76"/>
      <c r="D1177" s="330"/>
      <c r="E1177" s="331"/>
      <c r="F1177" s="331"/>
      <c r="G1177" s="331"/>
      <c r="H1177" s="331"/>
      <c r="I1177" s="331"/>
      <c r="J1177" s="331"/>
      <c r="K1177" s="331"/>
      <c r="L1177" s="331"/>
      <c r="M1177" s="331"/>
      <c r="N1177" s="303"/>
      <c r="O1177" s="304"/>
      <c r="P1177" s="312"/>
      <c r="Q1177" s="312"/>
      <c r="R1177" s="76"/>
      <c r="S1177" s="307"/>
      <c r="T1177" s="301"/>
      <c r="U1177" s="301"/>
      <c r="W1177" s="267"/>
      <c r="X1177" s="240"/>
      <c r="Y1177" s="268"/>
      <c r="Z1177" s="240"/>
      <c r="AA1177" s="241"/>
    </row>
    <row r="1178" spans="1:27" s="322" customFormat="1">
      <c r="A1178" s="312"/>
      <c r="B1178" s="76"/>
      <c r="C1178" s="76"/>
      <c r="D1178" s="330"/>
      <c r="E1178" s="331"/>
      <c r="F1178" s="331"/>
      <c r="G1178" s="331"/>
      <c r="H1178" s="331"/>
      <c r="I1178" s="331"/>
      <c r="J1178" s="331"/>
      <c r="K1178" s="331"/>
      <c r="L1178" s="331"/>
      <c r="M1178" s="331"/>
      <c r="N1178" s="303"/>
      <c r="O1178" s="304"/>
      <c r="P1178" s="312"/>
      <c r="Q1178" s="312"/>
      <c r="R1178" s="76"/>
      <c r="S1178" s="307"/>
      <c r="T1178" s="301"/>
      <c r="U1178" s="301"/>
      <c r="W1178" s="267"/>
      <c r="X1178" s="240"/>
      <c r="Y1178" s="268"/>
      <c r="Z1178" s="240"/>
      <c r="AA1178" s="241"/>
    </row>
    <row r="1179" spans="1:27" s="322" customFormat="1">
      <c r="A1179" s="312"/>
      <c r="B1179" s="76"/>
      <c r="C1179" s="76"/>
      <c r="D1179" s="330"/>
      <c r="E1179" s="331"/>
      <c r="F1179" s="331"/>
      <c r="G1179" s="331"/>
      <c r="H1179" s="331"/>
      <c r="I1179" s="331"/>
      <c r="J1179" s="331"/>
      <c r="K1179" s="331"/>
      <c r="L1179" s="331"/>
      <c r="M1179" s="331"/>
      <c r="N1179" s="303"/>
      <c r="O1179" s="304"/>
      <c r="P1179" s="312"/>
      <c r="Q1179" s="312"/>
      <c r="R1179" s="76"/>
      <c r="S1179" s="307"/>
      <c r="T1179" s="301"/>
      <c r="U1179" s="301"/>
      <c r="W1179" s="267"/>
      <c r="X1179" s="240"/>
      <c r="Y1179" s="268"/>
      <c r="Z1179" s="240"/>
      <c r="AA1179" s="241"/>
    </row>
    <row r="1180" spans="1:27" s="322" customFormat="1">
      <c r="A1180" s="312"/>
      <c r="B1180" s="76"/>
      <c r="C1180" s="76"/>
      <c r="D1180" s="330"/>
      <c r="E1180" s="331"/>
      <c r="F1180" s="331"/>
      <c r="G1180" s="331"/>
      <c r="H1180" s="331"/>
      <c r="I1180" s="331"/>
      <c r="J1180" s="331"/>
      <c r="K1180" s="331"/>
      <c r="L1180" s="331"/>
      <c r="M1180" s="331"/>
      <c r="N1180" s="303"/>
      <c r="O1180" s="304"/>
      <c r="P1180" s="312"/>
      <c r="Q1180" s="312"/>
      <c r="R1180" s="76"/>
      <c r="S1180" s="307"/>
      <c r="T1180" s="301"/>
      <c r="U1180" s="301"/>
      <c r="W1180" s="267"/>
      <c r="X1180" s="240"/>
      <c r="Y1180" s="268"/>
      <c r="Z1180" s="240"/>
      <c r="AA1180" s="241"/>
    </row>
    <row r="1181" spans="1:27" s="322" customFormat="1">
      <c r="A1181" s="312"/>
      <c r="B1181" s="76"/>
      <c r="C1181" s="76"/>
      <c r="D1181" s="330"/>
      <c r="E1181" s="331"/>
      <c r="F1181" s="331"/>
      <c r="G1181" s="331"/>
      <c r="H1181" s="331"/>
      <c r="I1181" s="331"/>
      <c r="J1181" s="331"/>
      <c r="K1181" s="331"/>
      <c r="L1181" s="331"/>
      <c r="M1181" s="331"/>
      <c r="N1181" s="303"/>
      <c r="O1181" s="304"/>
      <c r="P1181" s="312"/>
      <c r="Q1181" s="312"/>
      <c r="R1181" s="76"/>
      <c r="S1181" s="307"/>
      <c r="T1181" s="301"/>
      <c r="U1181" s="301"/>
      <c r="W1181" s="267"/>
      <c r="X1181" s="240"/>
      <c r="Y1181" s="268"/>
      <c r="Z1181" s="240"/>
      <c r="AA1181" s="241"/>
    </row>
    <row r="1182" spans="1:27" s="322" customFormat="1">
      <c r="A1182" s="312"/>
      <c r="B1182" s="76"/>
      <c r="C1182" s="76"/>
      <c r="D1182" s="330"/>
      <c r="E1182" s="331"/>
      <c r="F1182" s="331"/>
      <c r="G1182" s="331"/>
      <c r="H1182" s="331"/>
      <c r="I1182" s="331"/>
      <c r="J1182" s="331"/>
      <c r="K1182" s="331"/>
      <c r="L1182" s="331"/>
      <c r="M1182" s="331"/>
      <c r="N1182" s="303"/>
      <c r="O1182" s="304"/>
      <c r="P1182" s="312"/>
      <c r="Q1182" s="312"/>
      <c r="R1182" s="76"/>
      <c r="S1182" s="307"/>
      <c r="T1182" s="301"/>
      <c r="U1182" s="301"/>
      <c r="W1182" s="267"/>
      <c r="X1182" s="240"/>
      <c r="Y1182" s="268"/>
      <c r="Z1182" s="240"/>
      <c r="AA1182" s="241"/>
    </row>
    <row r="1183" spans="1:27" s="322" customFormat="1">
      <c r="A1183" s="312"/>
      <c r="B1183" s="76"/>
      <c r="C1183" s="76"/>
      <c r="D1183" s="330"/>
      <c r="E1183" s="331"/>
      <c r="F1183" s="331"/>
      <c r="G1183" s="331"/>
      <c r="H1183" s="331"/>
      <c r="I1183" s="331"/>
      <c r="J1183" s="331"/>
      <c r="K1183" s="331"/>
      <c r="L1183" s="331"/>
      <c r="M1183" s="331"/>
      <c r="N1183" s="303"/>
      <c r="O1183" s="304"/>
      <c r="P1183" s="312"/>
      <c r="Q1183" s="312"/>
      <c r="R1183" s="76"/>
      <c r="S1183" s="307"/>
      <c r="T1183" s="301"/>
      <c r="U1183" s="301"/>
      <c r="W1183" s="267"/>
      <c r="X1183" s="240"/>
      <c r="Y1183" s="268"/>
      <c r="Z1183" s="240"/>
      <c r="AA1183" s="241"/>
    </row>
    <row r="1184" spans="1:27" s="322" customFormat="1">
      <c r="A1184" s="312"/>
      <c r="B1184" s="76"/>
      <c r="C1184" s="76"/>
      <c r="D1184" s="330"/>
      <c r="E1184" s="331"/>
      <c r="F1184" s="331"/>
      <c r="G1184" s="331"/>
      <c r="H1184" s="331"/>
      <c r="I1184" s="331"/>
      <c r="J1184" s="331"/>
      <c r="K1184" s="331"/>
      <c r="L1184" s="331"/>
      <c r="M1184" s="331"/>
      <c r="N1184" s="303"/>
      <c r="O1184" s="304"/>
      <c r="P1184" s="312"/>
      <c r="Q1184" s="312"/>
      <c r="R1184" s="76"/>
      <c r="S1184" s="307"/>
      <c r="T1184" s="301"/>
      <c r="U1184" s="301"/>
      <c r="W1184" s="267"/>
      <c r="X1184" s="240"/>
      <c r="Y1184" s="268"/>
      <c r="Z1184" s="240"/>
      <c r="AA1184" s="241"/>
    </row>
    <row r="1185" spans="1:27" s="322" customFormat="1">
      <c r="A1185" s="312"/>
      <c r="B1185" s="76"/>
      <c r="C1185" s="76"/>
      <c r="D1185" s="330"/>
      <c r="E1185" s="331"/>
      <c r="F1185" s="331"/>
      <c r="G1185" s="331"/>
      <c r="H1185" s="331"/>
      <c r="I1185" s="331"/>
      <c r="J1185" s="331"/>
      <c r="K1185" s="331"/>
      <c r="L1185" s="331"/>
      <c r="M1185" s="331"/>
      <c r="N1185" s="303"/>
      <c r="O1185" s="304"/>
      <c r="P1185" s="312"/>
      <c r="Q1185" s="312"/>
      <c r="R1185" s="76"/>
      <c r="S1185" s="307"/>
      <c r="T1185" s="301"/>
      <c r="U1185" s="301"/>
      <c r="W1185" s="267"/>
      <c r="X1185" s="240"/>
      <c r="Y1185" s="268"/>
      <c r="Z1185" s="240"/>
      <c r="AA1185" s="241"/>
    </row>
    <row r="1186" spans="1:27" s="322" customFormat="1">
      <c r="A1186" s="312"/>
      <c r="B1186" s="76"/>
      <c r="C1186" s="76"/>
      <c r="D1186" s="330"/>
      <c r="E1186" s="331"/>
      <c r="F1186" s="331"/>
      <c r="G1186" s="331"/>
      <c r="H1186" s="331"/>
      <c r="I1186" s="331"/>
      <c r="J1186" s="331"/>
      <c r="K1186" s="331"/>
      <c r="L1186" s="331"/>
      <c r="M1186" s="331"/>
      <c r="N1186" s="303"/>
      <c r="O1186" s="304"/>
      <c r="P1186" s="312"/>
      <c r="Q1186" s="312"/>
      <c r="R1186" s="76"/>
      <c r="S1186" s="307"/>
      <c r="T1186" s="301"/>
      <c r="U1186" s="301"/>
      <c r="W1186" s="267"/>
      <c r="X1186" s="240"/>
      <c r="Y1186" s="268"/>
      <c r="Z1186" s="240"/>
      <c r="AA1186" s="241"/>
    </row>
    <row r="1187" spans="1:27" s="322" customFormat="1">
      <c r="A1187" s="312"/>
      <c r="B1187" s="76"/>
      <c r="C1187" s="76"/>
      <c r="D1187" s="330"/>
      <c r="E1187" s="331"/>
      <c r="F1187" s="331"/>
      <c r="G1187" s="331"/>
      <c r="H1187" s="331"/>
      <c r="I1187" s="331"/>
      <c r="J1187" s="331"/>
      <c r="K1187" s="331"/>
      <c r="L1187" s="331"/>
      <c r="M1187" s="331"/>
      <c r="N1187" s="303"/>
      <c r="O1187" s="304"/>
      <c r="P1187" s="312"/>
      <c r="Q1187" s="312"/>
      <c r="R1187" s="76"/>
      <c r="S1187" s="307"/>
      <c r="T1187" s="301"/>
      <c r="U1187" s="301"/>
      <c r="W1187" s="267"/>
      <c r="X1187" s="240"/>
      <c r="Y1187" s="268"/>
      <c r="Z1187" s="240"/>
      <c r="AA1187" s="241"/>
    </row>
    <row r="1188" spans="1:27" s="322" customFormat="1">
      <c r="A1188" s="312"/>
      <c r="B1188" s="76"/>
      <c r="C1188" s="76"/>
      <c r="D1188" s="330"/>
      <c r="E1188" s="331"/>
      <c r="F1188" s="331"/>
      <c r="G1188" s="331"/>
      <c r="H1188" s="331"/>
      <c r="I1188" s="331"/>
      <c r="J1188" s="331"/>
      <c r="K1188" s="331"/>
      <c r="L1188" s="331"/>
      <c r="M1188" s="331"/>
      <c r="N1188" s="303"/>
      <c r="O1188" s="304"/>
      <c r="P1188" s="312"/>
      <c r="Q1188" s="312"/>
      <c r="R1188" s="76"/>
      <c r="S1188" s="307"/>
      <c r="T1188" s="301"/>
      <c r="U1188" s="301"/>
      <c r="W1188" s="267"/>
      <c r="X1188" s="240"/>
      <c r="Y1188" s="268"/>
      <c r="Z1188" s="240"/>
      <c r="AA1188" s="241"/>
    </row>
    <row r="1189" spans="1:27" s="322" customFormat="1">
      <c r="A1189" s="312"/>
      <c r="B1189" s="76"/>
      <c r="C1189" s="76"/>
      <c r="D1189" s="330"/>
      <c r="E1189" s="331"/>
      <c r="F1189" s="331"/>
      <c r="G1189" s="331"/>
      <c r="H1189" s="331"/>
      <c r="I1189" s="331"/>
      <c r="J1189" s="331"/>
      <c r="K1189" s="331"/>
      <c r="L1189" s="331"/>
      <c r="M1189" s="331"/>
      <c r="N1189" s="303"/>
      <c r="O1189" s="304"/>
      <c r="P1189" s="312"/>
      <c r="Q1189" s="312"/>
      <c r="R1189" s="76"/>
      <c r="S1189" s="307"/>
      <c r="T1189" s="301"/>
      <c r="U1189" s="301"/>
      <c r="W1189" s="267"/>
      <c r="X1189" s="240"/>
      <c r="Y1189" s="268"/>
      <c r="Z1189" s="240"/>
      <c r="AA1189" s="241"/>
    </row>
    <row r="1190" spans="1:27" s="322" customFormat="1">
      <c r="A1190" s="312"/>
      <c r="B1190" s="76"/>
      <c r="C1190" s="76"/>
      <c r="D1190" s="330"/>
      <c r="E1190" s="331"/>
      <c r="F1190" s="331"/>
      <c r="G1190" s="331"/>
      <c r="H1190" s="331"/>
      <c r="I1190" s="331"/>
      <c r="J1190" s="331"/>
      <c r="K1190" s="331"/>
      <c r="L1190" s="331"/>
      <c r="M1190" s="331"/>
      <c r="N1190" s="303"/>
      <c r="O1190" s="304"/>
      <c r="P1190" s="312"/>
      <c r="Q1190" s="312"/>
      <c r="R1190" s="76"/>
      <c r="S1190" s="307"/>
      <c r="T1190" s="301"/>
      <c r="U1190" s="301"/>
      <c r="W1190" s="267"/>
      <c r="X1190" s="240"/>
      <c r="Y1190" s="268"/>
      <c r="Z1190" s="240"/>
      <c r="AA1190" s="241"/>
    </row>
    <row r="1191" spans="1:27" s="322" customFormat="1">
      <c r="A1191" s="312"/>
      <c r="B1191" s="76"/>
      <c r="C1191" s="76"/>
      <c r="D1191" s="330"/>
      <c r="E1191" s="331"/>
      <c r="F1191" s="331"/>
      <c r="G1191" s="331"/>
      <c r="H1191" s="331"/>
      <c r="I1191" s="331"/>
      <c r="J1191" s="331"/>
      <c r="K1191" s="331"/>
      <c r="L1191" s="331"/>
      <c r="M1191" s="331"/>
      <c r="N1191" s="303"/>
      <c r="O1191" s="304"/>
      <c r="P1191" s="312"/>
      <c r="Q1191" s="312"/>
      <c r="R1191" s="76"/>
      <c r="S1191" s="307"/>
      <c r="T1191" s="301"/>
      <c r="U1191" s="301"/>
      <c r="W1191" s="267"/>
      <c r="X1191" s="240"/>
      <c r="Y1191" s="268"/>
      <c r="Z1191" s="240"/>
      <c r="AA1191" s="241"/>
    </row>
    <row r="1192" spans="1:27" s="322" customFormat="1">
      <c r="A1192" s="312"/>
      <c r="B1192" s="76"/>
      <c r="C1192" s="76"/>
      <c r="D1192" s="330"/>
      <c r="E1192" s="331"/>
      <c r="F1192" s="331"/>
      <c r="G1192" s="331"/>
      <c r="H1192" s="331"/>
      <c r="I1192" s="331"/>
      <c r="J1192" s="331"/>
      <c r="K1192" s="331"/>
      <c r="L1192" s="331"/>
      <c r="M1192" s="331"/>
      <c r="N1192" s="303"/>
      <c r="O1192" s="304"/>
      <c r="P1192" s="312"/>
      <c r="Q1192" s="312"/>
      <c r="R1192" s="76"/>
      <c r="S1192" s="307"/>
      <c r="T1192" s="301"/>
      <c r="U1192" s="301"/>
      <c r="W1192" s="267"/>
      <c r="X1192" s="240"/>
      <c r="Y1192" s="268"/>
      <c r="Z1192" s="240"/>
      <c r="AA1192" s="241"/>
    </row>
    <row r="1193" spans="1:27" s="322" customFormat="1">
      <c r="A1193" s="312"/>
      <c r="B1193" s="76"/>
      <c r="C1193" s="76"/>
      <c r="D1193" s="330"/>
      <c r="E1193" s="331"/>
      <c r="F1193" s="331"/>
      <c r="G1193" s="331"/>
      <c r="H1193" s="331"/>
      <c r="I1193" s="331"/>
      <c r="J1193" s="331"/>
      <c r="K1193" s="331"/>
      <c r="L1193" s="331"/>
      <c r="M1193" s="331"/>
      <c r="N1193" s="303"/>
      <c r="O1193" s="304"/>
      <c r="P1193" s="312"/>
      <c r="Q1193" s="312"/>
      <c r="R1193" s="76"/>
      <c r="S1193" s="307"/>
      <c r="T1193" s="301"/>
      <c r="U1193" s="301"/>
      <c r="W1193" s="267"/>
      <c r="X1193" s="240"/>
      <c r="Y1193" s="268"/>
      <c r="Z1193" s="240"/>
      <c r="AA1193" s="241"/>
    </row>
    <row r="1194" spans="1:27" s="322" customFormat="1">
      <c r="A1194" s="312"/>
      <c r="B1194" s="76"/>
      <c r="C1194" s="76"/>
      <c r="D1194" s="330"/>
      <c r="E1194" s="331"/>
      <c r="F1194" s="331"/>
      <c r="G1194" s="331"/>
      <c r="H1194" s="331"/>
      <c r="I1194" s="331"/>
      <c r="J1194" s="331"/>
      <c r="K1194" s="331"/>
      <c r="L1194" s="331"/>
      <c r="M1194" s="331"/>
      <c r="N1194" s="303"/>
      <c r="O1194" s="304"/>
      <c r="P1194" s="312"/>
      <c r="Q1194" s="312"/>
      <c r="R1194" s="76"/>
      <c r="S1194" s="307"/>
      <c r="T1194" s="301"/>
      <c r="U1194" s="301"/>
      <c r="W1194" s="267"/>
      <c r="X1194" s="240"/>
      <c r="Y1194" s="268"/>
      <c r="Z1194" s="240"/>
      <c r="AA1194" s="241"/>
    </row>
    <row r="1195" spans="1:27" s="322" customFormat="1">
      <c r="A1195" s="312"/>
      <c r="B1195" s="76"/>
      <c r="C1195" s="76"/>
      <c r="D1195" s="330"/>
      <c r="E1195" s="331"/>
      <c r="F1195" s="331"/>
      <c r="G1195" s="331"/>
      <c r="H1195" s="331"/>
      <c r="I1195" s="331"/>
      <c r="J1195" s="331"/>
      <c r="K1195" s="331"/>
      <c r="L1195" s="331"/>
      <c r="M1195" s="331"/>
      <c r="N1195" s="303"/>
      <c r="O1195" s="304"/>
      <c r="P1195" s="312"/>
      <c r="Q1195" s="312"/>
      <c r="R1195" s="76"/>
      <c r="S1195" s="307"/>
      <c r="T1195" s="301"/>
      <c r="U1195" s="301"/>
      <c r="W1195" s="267"/>
      <c r="X1195" s="240"/>
      <c r="Y1195" s="268"/>
      <c r="Z1195" s="240"/>
      <c r="AA1195" s="241"/>
    </row>
    <row r="1196" spans="1:27" s="322" customFormat="1">
      <c r="A1196" s="312"/>
      <c r="B1196" s="76"/>
      <c r="C1196" s="76"/>
      <c r="D1196" s="330"/>
      <c r="E1196" s="331"/>
      <c r="F1196" s="331"/>
      <c r="G1196" s="331"/>
      <c r="H1196" s="331"/>
      <c r="I1196" s="331"/>
      <c r="J1196" s="331"/>
      <c r="K1196" s="331"/>
      <c r="L1196" s="331"/>
      <c r="M1196" s="331"/>
      <c r="N1196" s="303"/>
      <c r="O1196" s="304"/>
      <c r="P1196" s="312"/>
      <c r="Q1196" s="312"/>
      <c r="R1196" s="76"/>
      <c r="S1196" s="307"/>
      <c r="T1196" s="301"/>
      <c r="U1196" s="301"/>
      <c r="W1196" s="267"/>
      <c r="X1196" s="240"/>
      <c r="Y1196" s="268"/>
      <c r="Z1196" s="240"/>
      <c r="AA1196" s="241"/>
    </row>
    <row r="1197" spans="1:27" s="322" customFormat="1">
      <c r="A1197" s="312"/>
      <c r="B1197" s="76"/>
      <c r="C1197" s="76"/>
      <c r="D1197" s="330"/>
      <c r="E1197" s="331"/>
      <c r="F1197" s="331"/>
      <c r="G1197" s="331"/>
      <c r="H1197" s="331"/>
      <c r="I1197" s="331"/>
      <c r="J1197" s="331"/>
      <c r="K1197" s="331"/>
      <c r="L1197" s="331"/>
      <c r="M1197" s="331"/>
      <c r="N1197" s="303"/>
      <c r="O1197" s="304"/>
      <c r="P1197" s="312"/>
      <c r="Q1197" s="312"/>
      <c r="R1197" s="76"/>
      <c r="S1197" s="307"/>
      <c r="T1197" s="301"/>
      <c r="U1197" s="301"/>
      <c r="W1197" s="267"/>
      <c r="X1197" s="240"/>
      <c r="Y1197" s="268"/>
      <c r="Z1197" s="240"/>
      <c r="AA1197" s="241"/>
    </row>
    <row r="1198" spans="1:27" s="322" customFormat="1">
      <c r="A1198" s="312"/>
      <c r="B1198" s="76"/>
      <c r="C1198" s="76"/>
      <c r="D1198" s="330"/>
      <c r="E1198" s="331"/>
      <c r="F1198" s="331"/>
      <c r="G1198" s="331"/>
      <c r="H1198" s="331"/>
      <c r="I1198" s="331"/>
      <c r="J1198" s="331"/>
      <c r="K1198" s="331"/>
      <c r="L1198" s="331"/>
      <c r="M1198" s="331"/>
      <c r="N1198" s="303"/>
      <c r="O1198" s="304"/>
      <c r="P1198" s="312"/>
      <c r="Q1198" s="312"/>
      <c r="R1198" s="76"/>
      <c r="S1198" s="307"/>
      <c r="T1198" s="301"/>
      <c r="U1198" s="301"/>
      <c r="W1198" s="267"/>
      <c r="X1198" s="240"/>
      <c r="Y1198" s="268"/>
      <c r="Z1198" s="240"/>
      <c r="AA1198" s="241"/>
    </row>
    <row r="1199" spans="1:27" s="322" customFormat="1">
      <c r="A1199" s="312"/>
      <c r="B1199" s="76"/>
      <c r="C1199" s="76"/>
      <c r="D1199" s="330"/>
      <c r="E1199" s="331"/>
      <c r="F1199" s="331"/>
      <c r="G1199" s="331"/>
      <c r="H1199" s="331"/>
      <c r="I1199" s="331"/>
      <c r="J1199" s="331"/>
      <c r="K1199" s="331"/>
      <c r="L1199" s="331"/>
      <c r="M1199" s="331"/>
      <c r="N1199" s="303"/>
      <c r="O1199" s="304"/>
      <c r="P1199" s="312"/>
      <c r="Q1199" s="312"/>
      <c r="R1199" s="76"/>
      <c r="S1199" s="307"/>
      <c r="T1199" s="301"/>
      <c r="U1199" s="301"/>
      <c r="W1199" s="267"/>
      <c r="X1199" s="240"/>
      <c r="Y1199" s="268"/>
      <c r="Z1199" s="240"/>
      <c r="AA1199" s="241"/>
    </row>
    <row r="1200" spans="1:27" s="322" customFormat="1">
      <c r="A1200" s="312"/>
      <c r="B1200" s="76"/>
      <c r="C1200" s="76"/>
      <c r="D1200" s="330"/>
      <c r="E1200" s="331"/>
      <c r="F1200" s="331"/>
      <c r="G1200" s="331"/>
      <c r="H1200" s="331"/>
      <c r="I1200" s="331"/>
      <c r="J1200" s="331"/>
      <c r="K1200" s="331"/>
      <c r="L1200" s="331"/>
      <c r="M1200" s="331"/>
      <c r="N1200" s="303"/>
      <c r="O1200" s="304"/>
      <c r="P1200" s="312"/>
      <c r="Q1200" s="312"/>
      <c r="R1200" s="76"/>
      <c r="S1200" s="307"/>
      <c r="T1200" s="301"/>
      <c r="U1200" s="301"/>
      <c r="W1200" s="267"/>
      <c r="X1200" s="240"/>
      <c r="Y1200" s="268"/>
      <c r="Z1200" s="240"/>
      <c r="AA1200" s="241"/>
    </row>
    <row r="1201" spans="1:27" s="322" customFormat="1">
      <c r="A1201" s="312"/>
      <c r="B1201" s="76"/>
      <c r="C1201" s="76"/>
      <c r="D1201" s="330"/>
      <c r="E1201" s="331"/>
      <c r="F1201" s="331"/>
      <c r="G1201" s="331"/>
      <c r="H1201" s="331"/>
      <c r="I1201" s="331"/>
      <c r="J1201" s="331"/>
      <c r="K1201" s="331"/>
      <c r="L1201" s="331"/>
      <c r="M1201" s="331"/>
      <c r="N1201" s="303"/>
      <c r="O1201" s="304"/>
      <c r="P1201" s="312"/>
      <c r="Q1201" s="312"/>
      <c r="R1201" s="76"/>
      <c r="S1201" s="307"/>
      <c r="T1201" s="301"/>
      <c r="U1201" s="301"/>
      <c r="W1201" s="267"/>
      <c r="X1201" s="240"/>
      <c r="Y1201" s="268"/>
      <c r="Z1201" s="240"/>
      <c r="AA1201" s="241"/>
    </row>
    <row r="1202" spans="1:27" s="322" customFormat="1">
      <c r="A1202" s="312"/>
      <c r="B1202" s="76"/>
      <c r="C1202" s="76"/>
      <c r="D1202" s="330"/>
      <c r="E1202" s="331"/>
      <c r="F1202" s="331"/>
      <c r="G1202" s="331"/>
      <c r="H1202" s="331"/>
      <c r="I1202" s="331"/>
      <c r="J1202" s="331"/>
      <c r="K1202" s="331"/>
      <c r="L1202" s="331"/>
      <c r="M1202" s="331"/>
      <c r="N1202" s="303"/>
      <c r="O1202" s="304"/>
      <c r="P1202" s="312"/>
      <c r="Q1202" s="312"/>
      <c r="R1202" s="76"/>
      <c r="S1202" s="307"/>
      <c r="T1202" s="301"/>
      <c r="U1202" s="301"/>
      <c r="W1202" s="267"/>
      <c r="X1202" s="240"/>
      <c r="Y1202" s="268"/>
      <c r="Z1202" s="240"/>
      <c r="AA1202" s="241"/>
    </row>
    <row r="1203" spans="1:27" s="322" customFormat="1">
      <c r="A1203" s="312"/>
      <c r="B1203" s="76"/>
      <c r="C1203" s="76"/>
      <c r="D1203" s="330"/>
      <c r="E1203" s="331"/>
      <c r="F1203" s="331"/>
      <c r="G1203" s="331"/>
      <c r="H1203" s="331"/>
      <c r="I1203" s="331"/>
      <c r="J1203" s="331"/>
      <c r="K1203" s="331"/>
      <c r="L1203" s="331"/>
      <c r="M1203" s="331"/>
      <c r="N1203" s="303"/>
      <c r="O1203" s="304"/>
      <c r="P1203" s="312"/>
      <c r="Q1203" s="312"/>
      <c r="R1203" s="76"/>
      <c r="S1203" s="307"/>
      <c r="T1203" s="301"/>
      <c r="U1203" s="301"/>
      <c r="W1203" s="267"/>
      <c r="X1203" s="240"/>
      <c r="Y1203" s="268"/>
      <c r="Z1203" s="240"/>
      <c r="AA1203" s="241"/>
    </row>
    <row r="1204" spans="1:27" s="322" customFormat="1">
      <c r="A1204" s="312"/>
      <c r="B1204" s="76"/>
      <c r="C1204" s="76"/>
      <c r="D1204" s="330"/>
      <c r="E1204" s="331"/>
      <c r="F1204" s="331"/>
      <c r="G1204" s="331"/>
      <c r="H1204" s="331"/>
      <c r="I1204" s="331"/>
      <c r="J1204" s="331"/>
      <c r="K1204" s="331"/>
      <c r="L1204" s="331"/>
      <c r="M1204" s="331"/>
      <c r="N1204" s="303"/>
      <c r="O1204" s="304"/>
      <c r="P1204" s="312"/>
      <c r="Q1204" s="312"/>
      <c r="R1204" s="76"/>
      <c r="S1204" s="307"/>
      <c r="T1204" s="301"/>
      <c r="U1204" s="301"/>
      <c r="W1204" s="267"/>
      <c r="X1204" s="240"/>
      <c r="Y1204" s="268"/>
      <c r="Z1204" s="240"/>
      <c r="AA1204" s="241"/>
    </row>
    <row r="1205" spans="1:27" s="322" customFormat="1">
      <c r="A1205" s="312"/>
      <c r="B1205" s="76"/>
      <c r="C1205" s="76"/>
      <c r="D1205" s="330"/>
      <c r="E1205" s="331"/>
      <c r="F1205" s="331"/>
      <c r="G1205" s="331"/>
      <c r="H1205" s="331"/>
      <c r="I1205" s="331"/>
      <c r="J1205" s="331"/>
      <c r="K1205" s="331"/>
      <c r="L1205" s="331"/>
      <c r="M1205" s="331"/>
      <c r="N1205" s="303"/>
      <c r="O1205" s="304"/>
      <c r="P1205" s="312"/>
      <c r="Q1205" s="312"/>
      <c r="R1205" s="76"/>
      <c r="S1205" s="307"/>
      <c r="T1205" s="301"/>
      <c r="U1205" s="301"/>
      <c r="W1205" s="267"/>
      <c r="X1205" s="240"/>
      <c r="Y1205" s="268"/>
      <c r="Z1205" s="240"/>
      <c r="AA1205" s="241"/>
    </row>
    <row r="1206" spans="1:27" s="322" customFormat="1">
      <c r="A1206" s="312"/>
      <c r="B1206" s="76"/>
      <c r="C1206" s="76"/>
      <c r="D1206" s="330"/>
      <c r="E1206" s="331"/>
      <c r="F1206" s="331"/>
      <c r="G1206" s="331"/>
      <c r="H1206" s="331"/>
      <c r="I1206" s="331"/>
      <c r="J1206" s="331"/>
      <c r="K1206" s="331"/>
      <c r="L1206" s="331"/>
      <c r="M1206" s="331"/>
      <c r="N1206" s="303"/>
      <c r="O1206" s="304"/>
      <c r="P1206" s="312"/>
      <c r="Q1206" s="312"/>
      <c r="R1206" s="76"/>
      <c r="S1206" s="307"/>
      <c r="T1206" s="301"/>
      <c r="U1206" s="301"/>
      <c r="W1206" s="267"/>
      <c r="X1206" s="240"/>
      <c r="Y1206" s="268"/>
      <c r="Z1206" s="240"/>
      <c r="AA1206" s="241"/>
    </row>
    <row r="1207" spans="1:27" s="322" customFormat="1">
      <c r="A1207" s="312"/>
      <c r="B1207" s="76"/>
      <c r="C1207" s="76"/>
      <c r="D1207" s="330"/>
      <c r="E1207" s="331"/>
      <c r="F1207" s="331"/>
      <c r="G1207" s="331"/>
      <c r="H1207" s="331"/>
      <c r="I1207" s="331"/>
      <c r="J1207" s="331"/>
      <c r="K1207" s="331"/>
      <c r="L1207" s="331"/>
      <c r="M1207" s="331"/>
      <c r="N1207" s="303"/>
      <c r="O1207" s="304"/>
      <c r="P1207" s="312"/>
      <c r="Q1207" s="312"/>
      <c r="R1207" s="76"/>
      <c r="S1207" s="307"/>
      <c r="T1207" s="301"/>
      <c r="U1207" s="301"/>
      <c r="W1207" s="267"/>
      <c r="X1207" s="240"/>
      <c r="Y1207" s="268"/>
      <c r="Z1207" s="240"/>
      <c r="AA1207" s="241"/>
    </row>
    <row r="1208" spans="1:27" s="322" customFormat="1">
      <c r="A1208" s="312"/>
      <c r="B1208" s="76"/>
      <c r="C1208" s="76"/>
      <c r="D1208" s="330"/>
      <c r="E1208" s="331"/>
      <c r="F1208" s="331"/>
      <c r="G1208" s="331"/>
      <c r="H1208" s="331"/>
      <c r="I1208" s="331"/>
      <c r="J1208" s="331"/>
      <c r="K1208" s="331"/>
      <c r="L1208" s="331"/>
      <c r="M1208" s="331"/>
      <c r="N1208" s="303"/>
      <c r="O1208" s="304"/>
      <c r="P1208" s="312"/>
      <c r="Q1208" s="312"/>
      <c r="R1208" s="76"/>
      <c r="S1208" s="307"/>
      <c r="T1208" s="301"/>
      <c r="U1208" s="301"/>
      <c r="W1208" s="267"/>
      <c r="X1208" s="240"/>
      <c r="Y1208" s="268"/>
      <c r="Z1208" s="240"/>
      <c r="AA1208" s="241"/>
    </row>
    <row r="1209" spans="1:27" s="322" customFormat="1">
      <c r="A1209" s="312"/>
      <c r="B1209" s="76"/>
      <c r="C1209" s="76"/>
      <c r="D1209" s="330"/>
      <c r="E1209" s="331"/>
      <c r="F1209" s="331"/>
      <c r="G1209" s="331"/>
      <c r="H1209" s="331"/>
      <c r="I1209" s="331"/>
      <c r="J1209" s="331"/>
      <c r="K1209" s="331"/>
      <c r="L1209" s="331"/>
      <c r="M1209" s="331"/>
      <c r="N1209" s="303"/>
      <c r="O1209" s="304"/>
      <c r="P1209" s="312"/>
      <c r="Q1209" s="312"/>
      <c r="R1209" s="76"/>
      <c r="S1209" s="307"/>
      <c r="T1209" s="301"/>
      <c r="U1209" s="301"/>
      <c r="W1209" s="267"/>
      <c r="X1209" s="240"/>
      <c r="Y1209" s="268"/>
      <c r="Z1209" s="240"/>
      <c r="AA1209" s="241"/>
    </row>
    <row r="1210" spans="1:27" s="322" customFormat="1">
      <c r="A1210" s="312"/>
      <c r="B1210" s="76"/>
      <c r="C1210" s="76"/>
      <c r="D1210" s="330"/>
      <c r="E1210" s="331"/>
      <c r="F1210" s="331"/>
      <c r="G1210" s="331"/>
      <c r="H1210" s="331"/>
      <c r="I1210" s="331"/>
      <c r="J1210" s="331"/>
      <c r="K1210" s="331"/>
      <c r="L1210" s="331"/>
      <c r="M1210" s="331"/>
      <c r="N1210" s="303"/>
      <c r="O1210" s="304"/>
      <c r="P1210" s="312"/>
      <c r="Q1210" s="312"/>
      <c r="R1210" s="76"/>
      <c r="S1210" s="307"/>
      <c r="T1210" s="301"/>
      <c r="U1210" s="301"/>
      <c r="W1210" s="267"/>
      <c r="X1210" s="240"/>
      <c r="Y1210" s="268"/>
      <c r="Z1210" s="240"/>
      <c r="AA1210" s="241"/>
    </row>
    <row r="1211" spans="1:27" s="322" customFormat="1">
      <c r="A1211" s="312"/>
      <c r="B1211" s="76"/>
      <c r="C1211" s="76"/>
      <c r="D1211" s="330"/>
      <c r="E1211" s="331"/>
      <c r="F1211" s="331"/>
      <c r="G1211" s="331"/>
      <c r="H1211" s="331"/>
      <c r="I1211" s="331"/>
      <c r="J1211" s="331"/>
      <c r="K1211" s="331"/>
      <c r="L1211" s="331"/>
      <c r="M1211" s="331"/>
      <c r="N1211" s="303"/>
      <c r="O1211" s="304"/>
      <c r="P1211" s="312"/>
      <c r="Q1211" s="312"/>
      <c r="R1211" s="76"/>
      <c r="S1211" s="307"/>
      <c r="T1211" s="301"/>
      <c r="U1211" s="301"/>
      <c r="W1211" s="267"/>
      <c r="X1211" s="240"/>
      <c r="Y1211" s="268"/>
      <c r="Z1211" s="240"/>
      <c r="AA1211" s="241"/>
    </row>
    <row r="1212" spans="1:27" s="322" customFormat="1">
      <c r="A1212" s="312"/>
      <c r="B1212" s="76"/>
      <c r="C1212" s="76"/>
      <c r="D1212" s="330"/>
      <c r="E1212" s="331"/>
      <c r="F1212" s="331"/>
      <c r="G1212" s="331"/>
      <c r="H1212" s="331"/>
      <c r="I1212" s="331"/>
      <c r="J1212" s="331"/>
      <c r="K1212" s="331"/>
      <c r="L1212" s="331"/>
      <c r="M1212" s="331"/>
      <c r="N1212" s="303"/>
      <c r="O1212" s="304"/>
      <c r="P1212" s="312"/>
      <c r="Q1212" s="312"/>
      <c r="R1212" s="76"/>
      <c r="S1212" s="307"/>
      <c r="T1212" s="301"/>
      <c r="U1212" s="301"/>
      <c r="W1212" s="267"/>
      <c r="X1212" s="240"/>
      <c r="Y1212" s="268"/>
      <c r="Z1212" s="240"/>
      <c r="AA1212" s="241"/>
    </row>
    <row r="1213" spans="1:27" s="322" customFormat="1">
      <c r="A1213" s="312"/>
      <c r="B1213" s="76"/>
      <c r="C1213" s="76"/>
      <c r="D1213" s="330"/>
      <c r="E1213" s="331"/>
      <c r="F1213" s="331"/>
      <c r="G1213" s="331"/>
      <c r="H1213" s="331"/>
      <c r="I1213" s="331"/>
      <c r="J1213" s="331"/>
      <c r="K1213" s="331"/>
      <c r="L1213" s="331"/>
      <c r="M1213" s="331"/>
      <c r="N1213" s="303"/>
      <c r="O1213" s="304"/>
      <c r="P1213" s="312"/>
      <c r="Q1213" s="312"/>
      <c r="R1213" s="76"/>
      <c r="S1213" s="307"/>
      <c r="T1213" s="301"/>
      <c r="U1213" s="301"/>
      <c r="W1213" s="267"/>
      <c r="X1213" s="240"/>
      <c r="Y1213" s="268"/>
      <c r="Z1213" s="240"/>
      <c r="AA1213" s="241"/>
    </row>
    <row r="1214" spans="1:27" s="322" customFormat="1">
      <c r="A1214" s="312"/>
      <c r="B1214" s="76"/>
      <c r="C1214" s="76"/>
      <c r="D1214" s="330"/>
      <c r="E1214" s="331"/>
      <c r="F1214" s="331"/>
      <c r="G1214" s="331"/>
      <c r="H1214" s="331"/>
      <c r="I1214" s="331"/>
      <c r="J1214" s="331"/>
      <c r="K1214" s="331"/>
      <c r="L1214" s="331"/>
      <c r="M1214" s="331"/>
      <c r="N1214" s="303"/>
      <c r="O1214" s="304"/>
      <c r="P1214" s="312"/>
      <c r="Q1214" s="312"/>
      <c r="R1214" s="76"/>
      <c r="S1214" s="307"/>
      <c r="T1214" s="301"/>
      <c r="U1214" s="301"/>
      <c r="W1214" s="267"/>
      <c r="X1214" s="240"/>
      <c r="Y1214" s="268"/>
      <c r="Z1214" s="240"/>
      <c r="AA1214" s="241"/>
    </row>
    <row r="1215" spans="1:27" s="322" customFormat="1">
      <c r="A1215" s="312"/>
      <c r="B1215" s="76"/>
      <c r="C1215" s="76"/>
      <c r="D1215" s="330"/>
      <c r="E1215" s="331"/>
      <c r="F1215" s="331"/>
      <c r="G1215" s="331"/>
      <c r="H1215" s="331"/>
      <c r="I1215" s="331"/>
      <c r="J1215" s="331"/>
      <c r="K1215" s="331"/>
      <c r="L1215" s="331"/>
      <c r="M1215" s="331"/>
      <c r="N1215" s="303"/>
      <c r="O1215" s="304"/>
      <c r="P1215" s="312"/>
      <c r="Q1215" s="312"/>
      <c r="R1215" s="76"/>
      <c r="S1215" s="307"/>
      <c r="T1215" s="301"/>
      <c r="U1215" s="301"/>
      <c r="W1215" s="267"/>
      <c r="X1215" s="240"/>
      <c r="Y1215" s="268"/>
      <c r="Z1215" s="240"/>
      <c r="AA1215" s="241"/>
    </row>
    <row r="1216" spans="1:27" s="322" customFormat="1">
      <c r="A1216" s="312"/>
      <c r="B1216" s="76"/>
      <c r="C1216" s="76"/>
      <c r="D1216" s="330"/>
      <c r="E1216" s="331"/>
      <c r="F1216" s="331"/>
      <c r="G1216" s="331"/>
      <c r="H1216" s="331"/>
      <c r="I1216" s="331"/>
      <c r="J1216" s="331"/>
      <c r="K1216" s="331"/>
      <c r="L1216" s="331"/>
      <c r="M1216" s="331"/>
      <c r="N1216" s="303"/>
      <c r="O1216" s="304"/>
      <c r="P1216" s="312"/>
      <c r="Q1216" s="312"/>
      <c r="R1216" s="76"/>
      <c r="S1216" s="307"/>
      <c r="T1216" s="301"/>
      <c r="U1216" s="301"/>
      <c r="W1216" s="267"/>
      <c r="X1216" s="240"/>
      <c r="Y1216" s="268"/>
      <c r="Z1216" s="240"/>
      <c r="AA1216" s="241"/>
    </row>
    <row r="1217" spans="1:27" s="322" customFormat="1">
      <c r="A1217" s="312"/>
      <c r="B1217" s="76"/>
      <c r="C1217" s="76"/>
      <c r="D1217" s="330"/>
      <c r="E1217" s="331"/>
      <c r="F1217" s="331"/>
      <c r="G1217" s="331"/>
      <c r="H1217" s="331"/>
      <c r="I1217" s="331"/>
      <c r="J1217" s="331"/>
      <c r="K1217" s="331"/>
      <c r="L1217" s="331"/>
      <c r="M1217" s="331"/>
      <c r="N1217" s="303"/>
      <c r="O1217" s="304"/>
      <c r="P1217" s="312"/>
      <c r="Q1217" s="312"/>
      <c r="R1217" s="76"/>
      <c r="S1217" s="307"/>
      <c r="T1217" s="301"/>
      <c r="U1217" s="301"/>
      <c r="W1217" s="267"/>
      <c r="X1217" s="240"/>
      <c r="Y1217" s="268"/>
      <c r="Z1217" s="240"/>
      <c r="AA1217" s="241"/>
    </row>
    <row r="1218" spans="1:27" s="322" customFormat="1">
      <c r="A1218" s="312"/>
      <c r="B1218" s="76"/>
      <c r="C1218" s="76"/>
      <c r="D1218" s="330"/>
      <c r="E1218" s="331"/>
      <c r="F1218" s="331"/>
      <c r="G1218" s="331"/>
      <c r="H1218" s="331"/>
      <c r="I1218" s="331"/>
      <c r="J1218" s="331"/>
      <c r="K1218" s="331"/>
      <c r="L1218" s="331"/>
      <c r="M1218" s="331"/>
      <c r="N1218" s="303"/>
      <c r="O1218" s="304"/>
      <c r="P1218" s="312"/>
      <c r="Q1218" s="312"/>
      <c r="R1218" s="76"/>
      <c r="S1218" s="307"/>
      <c r="T1218" s="301"/>
      <c r="U1218" s="301"/>
      <c r="W1218" s="267"/>
      <c r="X1218" s="240"/>
      <c r="Y1218" s="268"/>
      <c r="Z1218" s="240"/>
      <c r="AA1218" s="241"/>
    </row>
    <row r="1219" spans="1:27" s="322" customFormat="1">
      <c r="A1219" s="312"/>
      <c r="B1219" s="76"/>
      <c r="C1219" s="76"/>
      <c r="D1219" s="330"/>
      <c r="E1219" s="331"/>
      <c r="F1219" s="331"/>
      <c r="G1219" s="331"/>
      <c r="H1219" s="331"/>
      <c r="I1219" s="331"/>
      <c r="J1219" s="331"/>
      <c r="K1219" s="331"/>
      <c r="L1219" s="331"/>
      <c r="M1219" s="331"/>
      <c r="N1219" s="303"/>
      <c r="O1219" s="304"/>
      <c r="P1219" s="312"/>
      <c r="Q1219" s="314"/>
      <c r="R1219" s="315"/>
      <c r="S1219" s="307"/>
      <c r="T1219" s="301"/>
      <c r="U1219" s="301"/>
      <c r="W1219" s="267"/>
      <c r="X1219" s="240"/>
      <c r="Y1219" s="268"/>
      <c r="Z1219" s="240"/>
      <c r="AA1219" s="241"/>
    </row>
    <row r="1220" spans="1:27" s="322" customFormat="1">
      <c r="A1220" s="312"/>
      <c r="B1220" s="76"/>
      <c r="C1220" s="76"/>
      <c r="D1220" s="330"/>
      <c r="E1220" s="331"/>
      <c r="F1220" s="331"/>
      <c r="G1220" s="331"/>
      <c r="H1220" s="331"/>
      <c r="I1220" s="331"/>
      <c r="J1220" s="331"/>
      <c r="K1220" s="331"/>
      <c r="L1220" s="331"/>
      <c r="M1220" s="331"/>
      <c r="N1220" s="303"/>
      <c r="O1220" s="304"/>
      <c r="P1220" s="312"/>
      <c r="Q1220" s="314"/>
      <c r="R1220" s="315"/>
      <c r="S1220" s="307"/>
      <c r="T1220" s="301"/>
      <c r="U1220" s="301"/>
      <c r="W1220" s="267"/>
      <c r="X1220" s="240"/>
      <c r="Y1220" s="268"/>
      <c r="Z1220" s="240"/>
      <c r="AA1220" s="241"/>
    </row>
    <row r="1221" spans="1:27" s="322" customFormat="1">
      <c r="A1221" s="312"/>
      <c r="B1221" s="76"/>
      <c r="C1221" s="76"/>
      <c r="D1221" s="330"/>
      <c r="E1221" s="331"/>
      <c r="F1221" s="331"/>
      <c r="G1221" s="331"/>
      <c r="H1221" s="331"/>
      <c r="I1221" s="331"/>
      <c r="J1221" s="331"/>
      <c r="K1221" s="331"/>
      <c r="L1221" s="331"/>
      <c r="M1221" s="331"/>
      <c r="N1221" s="303"/>
      <c r="O1221" s="304"/>
      <c r="P1221" s="312"/>
      <c r="Q1221" s="314"/>
      <c r="R1221" s="315"/>
      <c r="S1221" s="307"/>
      <c r="T1221" s="301"/>
      <c r="U1221" s="301"/>
      <c r="W1221" s="267"/>
      <c r="X1221" s="240"/>
      <c r="Y1221" s="268"/>
      <c r="Z1221" s="240"/>
      <c r="AA1221" s="241"/>
    </row>
    <row r="1222" spans="1:27" s="322" customFormat="1">
      <c r="A1222" s="312"/>
      <c r="B1222" s="76"/>
      <c r="C1222" s="76"/>
      <c r="D1222" s="330"/>
      <c r="E1222" s="331"/>
      <c r="F1222" s="331"/>
      <c r="G1222" s="331"/>
      <c r="H1222" s="331"/>
      <c r="I1222" s="331"/>
      <c r="J1222" s="331"/>
      <c r="K1222" s="331"/>
      <c r="L1222" s="331"/>
      <c r="M1222" s="331"/>
      <c r="N1222" s="303"/>
      <c r="O1222" s="304"/>
      <c r="P1222" s="312"/>
      <c r="Q1222" s="314"/>
      <c r="R1222" s="315"/>
      <c r="S1222" s="307"/>
      <c r="T1222" s="301"/>
      <c r="U1222" s="301"/>
      <c r="W1222" s="267"/>
      <c r="X1222" s="240"/>
      <c r="Y1222" s="268"/>
      <c r="Z1222" s="240"/>
      <c r="AA1222" s="241"/>
    </row>
    <row r="1223" spans="1:27" s="322" customFormat="1">
      <c r="A1223" s="312"/>
      <c r="B1223" s="76"/>
      <c r="C1223" s="76"/>
      <c r="D1223" s="330"/>
      <c r="E1223" s="331"/>
      <c r="F1223" s="331"/>
      <c r="G1223" s="331"/>
      <c r="H1223" s="331"/>
      <c r="I1223" s="331"/>
      <c r="J1223" s="331"/>
      <c r="K1223" s="331"/>
      <c r="L1223" s="331"/>
      <c r="M1223" s="331"/>
      <c r="N1223" s="303"/>
      <c r="O1223" s="304"/>
      <c r="P1223" s="312"/>
      <c r="Q1223" s="314"/>
      <c r="R1223" s="315"/>
      <c r="S1223" s="307"/>
      <c r="T1223" s="301"/>
      <c r="U1223" s="301"/>
      <c r="W1223" s="267"/>
      <c r="X1223" s="240"/>
      <c r="Y1223" s="268"/>
      <c r="Z1223" s="240"/>
      <c r="AA1223" s="241"/>
    </row>
    <row r="1224" spans="1:27" s="322" customFormat="1">
      <c r="A1224" s="312"/>
      <c r="B1224" s="76"/>
      <c r="C1224" s="76"/>
      <c r="D1224" s="330"/>
      <c r="E1224" s="331"/>
      <c r="F1224" s="331"/>
      <c r="G1224" s="331"/>
      <c r="H1224" s="331"/>
      <c r="I1224" s="331"/>
      <c r="J1224" s="331"/>
      <c r="K1224" s="331"/>
      <c r="L1224" s="331"/>
      <c r="M1224" s="331"/>
      <c r="N1224" s="303"/>
      <c r="O1224" s="304"/>
      <c r="P1224" s="312"/>
      <c r="Q1224" s="314"/>
      <c r="R1224" s="315"/>
      <c r="S1224" s="307"/>
      <c r="T1224" s="301"/>
      <c r="U1224" s="301"/>
      <c r="W1224" s="267"/>
      <c r="X1224" s="240"/>
      <c r="Y1224" s="268"/>
      <c r="Z1224" s="240"/>
      <c r="AA1224" s="241"/>
    </row>
    <row r="1225" spans="1:27" s="322" customFormat="1">
      <c r="A1225" s="312"/>
      <c r="B1225" s="76"/>
      <c r="C1225" s="76"/>
      <c r="D1225" s="330"/>
      <c r="E1225" s="331"/>
      <c r="F1225" s="331"/>
      <c r="G1225" s="331"/>
      <c r="H1225" s="331"/>
      <c r="I1225" s="331"/>
      <c r="J1225" s="331"/>
      <c r="K1225" s="331"/>
      <c r="L1225" s="331"/>
      <c r="M1225" s="331"/>
      <c r="N1225" s="303"/>
      <c r="O1225" s="304"/>
      <c r="P1225" s="312"/>
      <c r="Q1225" s="314"/>
      <c r="R1225" s="315"/>
      <c r="S1225" s="307"/>
      <c r="T1225" s="301"/>
      <c r="U1225" s="301"/>
      <c r="W1225" s="267"/>
      <c r="X1225" s="240"/>
      <c r="Y1225" s="268"/>
      <c r="Z1225" s="240"/>
      <c r="AA1225" s="241"/>
    </row>
    <row r="1226" spans="1:27" s="322" customFormat="1">
      <c r="A1226" s="312"/>
      <c r="B1226" s="76"/>
      <c r="C1226" s="76"/>
      <c r="D1226" s="330"/>
      <c r="E1226" s="331"/>
      <c r="F1226" s="331"/>
      <c r="G1226" s="331"/>
      <c r="H1226" s="331"/>
      <c r="I1226" s="331"/>
      <c r="J1226" s="331"/>
      <c r="K1226" s="331"/>
      <c r="L1226" s="331"/>
      <c r="M1226" s="331"/>
      <c r="N1226" s="303"/>
      <c r="O1226" s="304"/>
      <c r="P1226" s="312"/>
      <c r="Q1226" s="314"/>
      <c r="R1226" s="315"/>
      <c r="S1226" s="307"/>
      <c r="T1226" s="301"/>
      <c r="U1226" s="301"/>
      <c r="W1226" s="267"/>
      <c r="X1226" s="240"/>
      <c r="Y1226" s="268"/>
      <c r="Z1226" s="240"/>
      <c r="AA1226" s="241"/>
    </row>
    <row r="1227" spans="1:27" s="322" customFormat="1">
      <c r="A1227" s="312"/>
      <c r="B1227" s="76"/>
      <c r="C1227" s="76"/>
      <c r="D1227" s="330"/>
      <c r="E1227" s="331"/>
      <c r="F1227" s="331"/>
      <c r="G1227" s="331"/>
      <c r="H1227" s="331"/>
      <c r="I1227" s="331"/>
      <c r="J1227" s="331"/>
      <c r="K1227" s="331"/>
      <c r="L1227" s="331"/>
      <c r="M1227" s="331"/>
      <c r="N1227" s="303"/>
      <c r="O1227" s="304"/>
      <c r="P1227" s="312"/>
      <c r="Q1227" s="314"/>
      <c r="R1227" s="315"/>
      <c r="S1227" s="307"/>
      <c r="T1227" s="301"/>
      <c r="U1227" s="301"/>
      <c r="W1227" s="267"/>
      <c r="X1227" s="240"/>
      <c r="Y1227" s="268"/>
      <c r="Z1227" s="240"/>
      <c r="AA1227" s="241"/>
    </row>
    <row r="1228" spans="1:27" s="322" customFormat="1">
      <c r="A1228" s="312"/>
      <c r="B1228" s="76"/>
      <c r="C1228" s="76"/>
      <c r="D1228" s="330"/>
      <c r="E1228" s="331"/>
      <c r="F1228" s="331"/>
      <c r="G1228" s="331"/>
      <c r="H1228" s="331"/>
      <c r="I1228" s="331"/>
      <c r="J1228" s="331"/>
      <c r="K1228" s="331"/>
      <c r="L1228" s="331"/>
      <c r="M1228" s="331"/>
      <c r="N1228" s="303"/>
      <c r="O1228" s="304"/>
      <c r="P1228" s="312"/>
      <c r="Q1228" s="314"/>
      <c r="R1228" s="315"/>
      <c r="S1228" s="307"/>
      <c r="T1228" s="301"/>
      <c r="U1228" s="301"/>
      <c r="W1228" s="267"/>
      <c r="X1228" s="240"/>
      <c r="Y1228" s="268"/>
      <c r="Z1228" s="240"/>
      <c r="AA1228" s="241"/>
    </row>
    <row r="1229" spans="1:27" s="322" customFormat="1">
      <c r="A1229" s="312"/>
      <c r="B1229" s="76"/>
      <c r="C1229" s="76"/>
      <c r="D1229" s="330"/>
      <c r="E1229" s="331"/>
      <c r="F1229" s="331"/>
      <c r="G1229" s="331"/>
      <c r="H1229" s="331"/>
      <c r="I1229" s="331"/>
      <c r="J1229" s="331"/>
      <c r="K1229" s="331"/>
      <c r="L1229" s="331"/>
      <c r="M1229" s="331"/>
      <c r="N1229" s="303"/>
      <c r="O1229" s="304"/>
      <c r="P1229" s="312"/>
      <c r="Q1229" s="314"/>
      <c r="R1229" s="315"/>
      <c r="S1229" s="307"/>
      <c r="T1229" s="301"/>
      <c r="U1229" s="301"/>
      <c r="W1229" s="267"/>
      <c r="X1229" s="240"/>
      <c r="Y1229" s="268"/>
      <c r="Z1229" s="240"/>
      <c r="AA1229" s="241"/>
    </row>
    <row r="1230" spans="1:27" s="322" customFormat="1">
      <c r="A1230" s="312"/>
      <c r="B1230" s="76"/>
      <c r="C1230" s="76"/>
      <c r="D1230" s="330"/>
      <c r="E1230" s="331"/>
      <c r="F1230" s="331"/>
      <c r="G1230" s="331"/>
      <c r="H1230" s="331"/>
      <c r="I1230" s="331"/>
      <c r="J1230" s="331"/>
      <c r="K1230" s="331"/>
      <c r="L1230" s="331"/>
      <c r="M1230" s="331"/>
      <c r="N1230" s="303"/>
      <c r="O1230" s="304"/>
      <c r="P1230" s="312"/>
      <c r="Q1230" s="314"/>
      <c r="R1230" s="315"/>
      <c r="S1230" s="307"/>
      <c r="T1230" s="301"/>
      <c r="U1230" s="301"/>
      <c r="W1230" s="267"/>
      <c r="X1230" s="240"/>
      <c r="Y1230" s="268"/>
      <c r="Z1230" s="240"/>
      <c r="AA1230" s="241"/>
    </row>
    <row r="1231" spans="1:27" s="322" customFormat="1">
      <c r="A1231" s="312"/>
      <c r="B1231" s="76"/>
      <c r="C1231" s="76"/>
      <c r="D1231" s="330"/>
      <c r="E1231" s="331"/>
      <c r="F1231" s="331"/>
      <c r="G1231" s="331"/>
      <c r="H1231" s="331"/>
      <c r="I1231" s="331"/>
      <c r="J1231" s="331"/>
      <c r="K1231" s="331"/>
      <c r="L1231" s="331"/>
      <c r="M1231" s="331"/>
      <c r="N1231" s="303"/>
      <c r="O1231" s="304"/>
      <c r="P1231" s="312"/>
      <c r="Q1231" s="314"/>
      <c r="R1231" s="315"/>
      <c r="S1231" s="307"/>
      <c r="T1231" s="301"/>
      <c r="U1231" s="301"/>
      <c r="W1231" s="267"/>
      <c r="X1231" s="240"/>
      <c r="Y1231" s="268"/>
      <c r="Z1231" s="240"/>
      <c r="AA1231" s="241"/>
    </row>
    <row r="1232" spans="1:27" s="322" customFormat="1">
      <c r="A1232" s="312"/>
      <c r="B1232" s="76"/>
      <c r="C1232" s="76"/>
      <c r="D1232" s="330"/>
      <c r="E1232" s="331"/>
      <c r="F1232" s="331"/>
      <c r="G1232" s="331"/>
      <c r="H1232" s="331"/>
      <c r="I1232" s="331"/>
      <c r="J1232" s="331"/>
      <c r="K1232" s="331"/>
      <c r="L1232" s="331"/>
      <c r="M1232" s="331"/>
      <c r="N1232" s="303"/>
      <c r="O1232" s="304"/>
      <c r="P1232" s="312"/>
      <c r="Q1232" s="314"/>
      <c r="R1232" s="315"/>
      <c r="S1232" s="307"/>
      <c r="T1232" s="301"/>
      <c r="U1232" s="301"/>
      <c r="W1232" s="267"/>
      <c r="X1232" s="240"/>
      <c r="Y1232" s="268"/>
      <c r="Z1232" s="240"/>
      <c r="AA1232" s="241"/>
    </row>
    <row r="1233" spans="1:27" s="322" customFormat="1">
      <c r="A1233" s="312"/>
      <c r="B1233" s="76"/>
      <c r="C1233" s="76"/>
      <c r="D1233" s="330"/>
      <c r="E1233" s="331"/>
      <c r="F1233" s="331"/>
      <c r="G1233" s="331"/>
      <c r="H1233" s="331"/>
      <c r="I1233" s="331"/>
      <c r="J1233" s="331"/>
      <c r="K1233" s="331"/>
      <c r="L1233" s="331"/>
      <c r="M1233" s="331"/>
      <c r="N1233" s="303"/>
      <c r="O1233" s="304"/>
      <c r="P1233" s="312"/>
      <c r="Q1233" s="314"/>
      <c r="R1233" s="315"/>
      <c r="S1233" s="307"/>
      <c r="T1233" s="301"/>
      <c r="U1233" s="301"/>
      <c r="W1233" s="267"/>
      <c r="X1233" s="240"/>
      <c r="Y1233" s="268"/>
      <c r="Z1233" s="240"/>
      <c r="AA1233" s="241"/>
    </row>
    <row r="1234" spans="1:27" s="322" customFormat="1">
      <c r="A1234" s="312"/>
      <c r="B1234" s="76"/>
      <c r="C1234" s="76"/>
      <c r="D1234" s="330"/>
      <c r="E1234" s="331"/>
      <c r="F1234" s="331"/>
      <c r="G1234" s="331"/>
      <c r="H1234" s="331"/>
      <c r="I1234" s="331"/>
      <c r="J1234" s="331"/>
      <c r="K1234" s="331"/>
      <c r="L1234" s="331"/>
      <c r="M1234" s="331"/>
      <c r="N1234" s="303"/>
      <c r="O1234" s="304"/>
      <c r="P1234" s="312"/>
      <c r="Q1234" s="314"/>
      <c r="R1234" s="315"/>
      <c r="S1234" s="307"/>
      <c r="T1234" s="301"/>
      <c r="U1234" s="301"/>
      <c r="W1234" s="267"/>
      <c r="X1234" s="240"/>
      <c r="Y1234" s="268"/>
      <c r="Z1234" s="240"/>
      <c r="AA1234" s="241"/>
    </row>
    <row r="1235" spans="1:27" s="322" customFormat="1">
      <c r="A1235" s="312"/>
      <c r="B1235" s="76"/>
      <c r="C1235" s="76"/>
      <c r="D1235" s="330"/>
      <c r="E1235" s="331"/>
      <c r="F1235" s="331"/>
      <c r="G1235" s="331"/>
      <c r="H1235" s="331"/>
      <c r="I1235" s="331"/>
      <c r="J1235" s="331"/>
      <c r="K1235" s="331"/>
      <c r="L1235" s="331"/>
      <c r="M1235" s="331"/>
      <c r="N1235" s="303"/>
      <c r="O1235" s="304"/>
      <c r="P1235" s="312"/>
      <c r="Q1235" s="314"/>
      <c r="R1235" s="315"/>
      <c r="S1235" s="307"/>
      <c r="T1235" s="301"/>
      <c r="U1235" s="301"/>
      <c r="W1235" s="267"/>
      <c r="X1235" s="240"/>
      <c r="Y1235" s="268"/>
      <c r="Z1235" s="240"/>
      <c r="AA1235" s="241"/>
    </row>
    <row r="1236" spans="1:27" s="322" customFormat="1">
      <c r="A1236" s="312"/>
      <c r="B1236" s="76"/>
      <c r="C1236" s="76"/>
      <c r="D1236" s="330"/>
      <c r="E1236" s="331"/>
      <c r="F1236" s="331"/>
      <c r="G1236" s="331"/>
      <c r="H1236" s="331"/>
      <c r="I1236" s="331"/>
      <c r="J1236" s="331"/>
      <c r="K1236" s="331"/>
      <c r="L1236" s="331"/>
      <c r="M1236" s="331"/>
      <c r="N1236" s="303"/>
      <c r="O1236" s="304"/>
      <c r="P1236" s="312"/>
      <c r="Q1236" s="312"/>
      <c r="R1236" s="76"/>
      <c r="S1236" s="307"/>
      <c r="T1236" s="301"/>
      <c r="U1236" s="301"/>
      <c r="W1236" s="267"/>
      <c r="X1236" s="240"/>
      <c r="Y1236" s="268"/>
      <c r="Z1236" s="240"/>
      <c r="AA1236" s="241"/>
    </row>
    <row r="1237" spans="1:27" s="322" customFormat="1">
      <c r="A1237" s="312"/>
      <c r="B1237" s="76"/>
      <c r="C1237" s="76"/>
      <c r="D1237" s="330"/>
      <c r="E1237" s="331"/>
      <c r="F1237" s="331"/>
      <c r="G1237" s="331"/>
      <c r="H1237" s="331"/>
      <c r="I1237" s="331"/>
      <c r="J1237" s="331"/>
      <c r="K1237" s="331"/>
      <c r="L1237" s="331"/>
      <c r="M1237" s="331"/>
      <c r="N1237" s="303"/>
      <c r="O1237" s="304"/>
      <c r="P1237" s="312"/>
      <c r="Q1237" s="312"/>
      <c r="R1237" s="76"/>
      <c r="S1237" s="307"/>
      <c r="T1237" s="301"/>
      <c r="U1237" s="301"/>
      <c r="W1237" s="267"/>
      <c r="X1237" s="240"/>
      <c r="Y1237" s="268"/>
      <c r="Z1237" s="240"/>
      <c r="AA1237" s="241"/>
    </row>
    <row r="1238" spans="1:27" s="322" customFormat="1">
      <c r="A1238" s="312"/>
      <c r="B1238" s="76"/>
      <c r="C1238" s="76"/>
      <c r="D1238" s="330"/>
      <c r="E1238" s="331"/>
      <c r="F1238" s="331"/>
      <c r="G1238" s="331"/>
      <c r="H1238" s="331"/>
      <c r="I1238" s="331"/>
      <c r="J1238" s="331"/>
      <c r="K1238" s="331"/>
      <c r="L1238" s="331"/>
      <c r="M1238" s="331"/>
      <c r="N1238" s="303"/>
      <c r="O1238" s="304"/>
      <c r="P1238" s="312"/>
      <c r="Q1238" s="312"/>
      <c r="R1238" s="76"/>
      <c r="S1238" s="307"/>
      <c r="T1238" s="301"/>
      <c r="U1238" s="301"/>
      <c r="W1238" s="267"/>
      <c r="X1238" s="240"/>
      <c r="Y1238" s="268"/>
      <c r="Z1238" s="240"/>
      <c r="AA1238" s="241"/>
    </row>
    <row r="1239" spans="1:27" s="322" customFormat="1">
      <c r="A1239" s="312"/>
      <c r="B1239" s="76"/>
      <c r="C1239" s="76"/>
      <c r="D1239" s="330"/>
      <c r="E1239" s="331"/>
      <c r="F1239" s="331"/>
      <c r="G1239" s="331"/>
      <c r="H1239" s="331"/>
      <c r="I1239" s="331"/>
      <c r="J1239" s="331"/>
      <c r="K1239" s="331"/>
      <c r="L1239" s="331"/>
      <c r="M1239" s="331"/>
      <c r="N1239" s="303"/>
      <c r="O1239" s="304"/>
      <c r="P1239" s="312"/>
      <c r="Q1239" s="312"/>
      <c r="R1239" s="76"/>
      <c r="S1239" s="307"/>
      <c r="T1239" s="301"/>
      <c r="U1239" s="301"/>
      <c r="W1239" s="267"/>
      <c r="X1239" s="240"/>
      <c r="Y1239" s="268"/>
      <c r="Z1239" s="240"/>
      <c r="AA1239" s="241"/>
    </row>
    <row r="1240" spans="1:27" s="322" customFormat="1">
      <c r="A1240" s="312"/>
      <c r="B1240" s="76"/>
      <c r="C1240" s="76"/>
      <c r="D1240" s="330"/>
      <c r="E1240" s="331"/>
      <c r="F1240" s="331"/>
      <c r="G1240" s="331"/>
      <c r="H1240" s="331"/>
      <c r="I1240" s="331"/>
      <c r="J1240" s="331"/>
      <c r="K1240" s="331"/>
      <c r="L1240" s="331"/>
      <c r="M1240" s="331"/>
      <c r="N1240" s="303"/>
      <c r="O1240" s="304"/>
      <c r="P1240" s="312"/>
      <c r="Q1240" s="312"/>
      <c r="R1240" s="76"/>
      <c r="S1240" s="307"/>
      <c r="T1240" s="301"/>
      <c r="U1240" s="301"/>
      <c r="W1240" s="267"/>
      <c r="X1240" s="240"/>
      <c r="Y1240" s="268"/>
      <c r="Z1240" s="240"/>
      <c r="AA1240" s="241"/>
    </row>
    <row r="1241" spans="1:27" s="322" customFormat="1">
      <c r="A1241" s="312"/>
      <c r="B1241" s="76"/>
      <c r="C1241" s="76"/>
      <c r="D1241" s="330"/>
      <c r="E1241" s="331"/>
      <c r="F1241" s="331"/>
      <c r="G1241" s="331"/>
      <c r="H1241" s="331"/>
      <c r="I1241" s="331"/>
      <c r="J1241" s="331"/>
      <c r="K1241" s="331"/>
      <c r="L1241" s="331"/>
      <c r="M1241" s="331"/>
      <c r="N1241" s="303"/>
      <c r="O1241" s="304"/>
      <c r="P1241" s="312"/>
      <c r="Q1241" s="312"/>
      <c r="R1241" s="76"/>
      <c r="S1241" s="307"/>
      <c r="T1241" s="301"/>
      <c r="U1241" s="301"/>
      <c r="W1241" s="267"/>
      <c r="X1241" s="240"/>
      <c r="Y1241" s="268"/>
      <c r="Z1241" s="240"/>
      <c r="AA1241" s="241"/>
    </row>
    <row r="1242" spans="1:27" s="322" customFormat="1">
      <c r="A1242" s="312"/>
      <c r="B1242" s="76"/>
      <c r="C1242" s="76"/>
      <c r="D1242" s="330"/>
      <c r="E1242" s="331"/>
      <c r="F1242" s="331"/>
      <c r="G1242" s="331"/>
      <c r="H1242" s="331"/>
      <c r="I1242" s="331"/>
      <c r="J1242" s="331"/>
      <c r="K1242" s="331"/>
      <c r="L1242" s="331"/>
      <c r="M1242" s="331"/>
      <c r="N1242" s="303"/>
      <c r="O1242" s="304"/>
      <c r="P1242" s="312"/>
      <c r="Q1242" s="312"/>
      <c r="R1242" s="76"/>
      <c r="S1242" s="307"/>
      <c r="T1242" s="301"/>
      <c r="U1242" s="301"/>
      <c r="W1242" s="267"/>
      <c r="X1242" s="240"/>
      <c r="Y1242" s="268"/>
      <c r="Z1242" s="240"/>
      <c r="AA1242" s="241"/>
    </row>
    <row r="1243" spans="1:27" s="322" customFormat="1">
      <c r="A1243" s="312"/>
      <c r="B1243" s="76"/>
      <c r="C1243" s="76"/>
      <c r="D1243" s="330"/>
      <c r="E1243" s="331"/>
      <c r="F1243" s="331"/>
      <c r="G1243" s="331"/>
      <c r="H1243" s="331"/>
      <c r="I1243" s="331"/>
      <c r="J1243" s="331"/>
      <c r="K1243" s="331"/>
      <c r="L1243" s="331"/>
      <c r="M1243" s="331"/>
      <c r="N1243" s="303"/>
      <c r="O1243" s="304"/>
      <c r="P1243" s="312"/>
      <c r="Q1243" s="312"/>
      <c r="R1243" s="76"/>
      <c r="S1243" s="307"/>
      <c r="T1243" s="301"/>
      <c r="U1243" s="301"/>
      <c r="W1243" s="267"/>
      <c r="X1243" s="240"/>
      <c r="Y1243" s="268"/>
      <c r="Z1243" s="240"/>
      <c r="AA1243" s="241"/>
    </row>
    <row r="1244" spans="1:27" s="322" customFormat="1">
      <c r="A1244" s="312"/>
      <c r="B1244" s="76"/>
      <c r="C1244" s="76"/>
      <c r="D1244" s="330"/>
      <c r="E1244" s="331"/>
      <c r="F1244" s="331"/>
      <c r="G1244" s="331"/>
      <c r="H1244" s="331"/>
      <c r="I1244" s="331"/>
      <c r="J1244" s="331"/>
      <c r="K1244" s="331"/>
      <c r="L1244" s="331"/>
      <c r="M1244" s="331"/>
      <c r="N1244" s="303"/>
      <c r="O1244" s="304"/>
      <c r="P1244" s="312"/>
      <c r="Q1244" s="312"/>
      <c r="R1244" s="76"/>
      <c r="S1244" s="307"/>
      <c r="T1244" s="301"/>
      <c r="U1244" s="301"/>
      <c r="W1244" s="267"/>
      <c r="X1244" s="240"/>
      <c r="Y1244" s="268"/>
      <c r="Z1244" s="240"/>
      <c r="AA1244" s="241"/>
    </row>
    <row r="1245" spans="1:27" s="322" customFormat="1">
      <c r="A1245" s="312"/>
      <c r="B1245" s="76"/>
      <c r="C1245" s="76"/>
      <c r="D1245" s="330"/>
      <c r="E1245" s="331"/>
      <c r="F1245" s="331"/>
      <c r="G1245" s="331"/>
      <c r="H1245" s="331"/>
      <c r="I1245" s="331"/>
      <c r="J1245" s="331"/>
      <c r="K1245" s="331"/>
      <c r="L1245" s="331"/>
      <c r="M1245" s="331"/>
      <c r="N1245" s="303"/>
      <c r="O1245" s="304"/>
      <c r="P1245" s="312"/>
      <c r="Q1245" s="312"/>
      <c r="R1245" s="76"/>
      <c r="S1245" s="307"/>
      <c r="T1245" s="301"/>
      <c r="U1245" s="301"/>
      <c r="W1245" s="267"/>
      <c r="X1245" s="240"/>
      <c r="Y1245" s="268"/>
      <c r="Z1245" s="240"/>
      <c r="AA1245" s="241"/>
    </row>
    <row r="1246" spans="1:27" s="322" customFormat="1">
      <c r="A1246" s="312"/>
      <c r="B1246" s="76"/>
      <c r="C1246" s="76"/>
      <c r="D1246" s="330"/>
      <c r="E1246" s="331"/>
      <c r="F1246" s="331"/>
      <c r="G1246" s="331"/>
      <c r="H1246" s="331"/>
      <c r="I1246" s="331"/>
      <c r="J1246" s="331"/>
      <c r="K1246" s="331"/>
      <c r="L1246" s="331"/>
      <c r="M1246" s="331"/>
      <c r="N1246" s="303"/>
      <c r="O1246" s="304"/>
      <c r="P1246" s="312"/>
      <c r="Q1246" s="312"/>
      <c r="R1246" s="76"/>
      <c r="S1246" s="307"/>
      <c r="T1246" s="301"/>
      <c r="U1246" s="301"/>
      <c r="W1246" s="267"/>
      <c r="X1246" s="240"/>
      <c r="Y1246" s="268"/>
      <c r="Z1246" s="240"/>
      <c r="AA1246" s="241"/>
    </row>
    <row r="1247" spans="1:27" s="322" customFormat="1">
      <c r="A1247" s="312"/>
      <c r="B1247" s="76"/>
      <c r="C1247" s="76"/>
      <c r="D1247" s="330"/>
      <c r="E1247" s="331"/>
      <c r="F1247" s="331"/>
      <c r="G1247" s="331"/>
      <c r="H1247" s="331"/>
      <c r="I1247" s="331"/>
      <c r="J1247" s="331"/>
      <c r="K1247" s="331"/>
      <c r="L1247" s="331"/>
      <c r="M1247" s="331"/>
      <c r="N1247" s="303"/>
      <c r="O1247" s="304"/>
      <c r="P1247" s="312"/>
      <c r="Q1247" s="312"/>
      <c r="R1247" s="76"/>
      <c r="S1247" s="307"/>
      <c r="T1247" s="301"/>
      <c r="U1247" s="301"/>
      <c r="W1247" s="267"/>
      <c r="X1247" s="240"/>
      <c r="Y1247" s="268"/>
      <c r="Z1247" s="240"/>
      <c r="AA1247" s="241"/>
    </row>
    <row r="1248" spans="1:27" s="322" customFormat="1">
      <c r="A1248" s="312"/>
      <c r="B1248" s="76"/>
      <c r="C1248" s="76"/>
      <c r="D1248" s="330"/>
      <c r="E1248" s="331"/>
      <c r="F1248" s="331"/>
      <c r="G1248" s="331"/>
      <c r="H1248" s="331"/>
      <c r="I1248" s="331"/>
      <c r="J1248" s="331"/>
      <c r="K1248" s="331"/>
      <c r="L1248" s="331"/>
      <c r="M1248" s="331"/>
      <c r="N1248" s="303"/>
      <c r="O1248" s="304"/>
      <c r="P1248" s="312"/>
      <c r="Q1248" s="312"/>
      <c r="R1248" s="76"/>
      <c r="S1248" s="307"/>
      <c r="T1248" s="301"/>
      <c r="U1248" s="301"/>
      <c r="W1248" s="267"/>
      <c r="X1248" s="240"/>
      <c r="Y1248" s="268"/>
      <c r="Z1248" s="240"/>
      <c r="AA1248" s="241"/>
    </row>
    <row r="1249" spans="1:27" s="322" customFormat="1">
      <c r="A1249" s="312"/>
      <c r="B1249" s="76"/>
      <c r="C1249" s="76"/>
      <c r="D1249" s="330"/>
      <c r="E1249" s="331"/>
      <c r="F1249" s="331"/>
      <c r="G1249" s="331"/>
      <c r="H1249" s="331"/>
      <c r="I1249" s="331"/>
      <c r="J1249" s="331"/>
      <c r="K1249" s="331"/>
      <c r="L1249" s="331"/>
      <c r="M1249" s="331"/>
      <c r="N1249" s="303"/>
      <c r="O1249" s="304"/>
      <c r="P1249" s="312"/>
      <c r="Q1249" s="312"/>
      <c r="R1249" s="76"/>
      <c r="S1249" s="307"/>
      <c r="T1249" s="301"/>
      <c r="U1249" s="301"/>
      <c r="W1249" s="267"/>
      <c r="X1249" s="240"/>
      <c r="Y1249" s="268"/>
      <c r="Z1249" s="240"/>
      <c r="AA1249" s="241"/>
    </row>
    <row r="1250" spans="1:27" s="322" customFormat="1">
      <c r="A1250" s="312"/>
      <c r="B1250" s="76"/>
      <c r="C1250" s="76"/>
      <c r="D1250" s="330"/>
      <c r="E1250" s="331"/>
      <c r="F1250" s="331"/>
      <c r="G1250" s="331"/>
      <c r="H1250" s="331"/>
      <c r="I1250" s="331"/>
      <c r="J1250" s="331"/>
      <c r="K1250" s="331"/>
      <c r="L1250" s="331"/>
      <c r="M1250" s="331"/>
      <c r="N1250" s="303"/>
      <c r="O1250" s="304"/>
      <c r="P1250" s="312"/>
      <c r="Q1250" s="312"/>
      <c r="R1250" s="76"/>
      <c r="S1250" s="327"/>
      <c r="T1250" s="306"/>
      <c r="U1250" s="306"/>
      <c r="W1250" s="267"/>
      <c r="X1250" s="240"/>
      <c r="Y1250" s="268"/>
      <c r="Z1250" s="240"/>
      <c r="AA1250" s="241"/>
    </row>
    <row r="1251" spans="1:27" s="322" customFormat="1">
      <c r="A1251" s="312"/>
      <c r="B1251" s="76"/>
      <c r="C1251" s="76"/>
      <c r="D1251" s="330"/>
      <c r="E1251" s="331"/>
      <c r="F1251" s="331"/>
      <c r="G1251" s="331"/>
      <c r="H1251" s="331"/>
      <c r="I1251" s="331"/>
      <c r="J1251" s="331"/>
      <c r="K1251" s="331"/>
      <c r="L1251" s="331"/>
      <c r="M1251" s="331"/>
      <c r="N1251" s="303"/>
      <c r="O1251" s="304"/>
      <c r="P1251" s="312"/>
      <c r="Q1251" s="312"/>
      <c r="R1251" s="76"/>
      <c r="S1251" s="327"/>
      <c r="T1251" s="306"/>
      <c r="U1251" s="306"/>
      <c r="W1251" s="267"/>
      <c r="X1251" s="240"/>
      <c r="Y1251" s="268"/>
      <c r="Z1251" s="240"/>
      <c r="AA1251" s="241"/>
    </row>
    <row r="1252" spans="1:27" s="322" customFormat="1">
      <c r="A1252" s="312"/>
      <c r="B1252" s="76"/>
      <c r="C1252" s="76"/>
      <c r="D1252" s="330"/>
      <c r="E1252" s="331"/>
      <c r="F1252" s="331"/>
      <c r="G1252" s="331"/>
      <c r="H1252" s="331"/>
      <c r="I1252" s="331"/>
      <c r="J1252" s="331"/>
      <c r="K1252" s="331"/>
      <c r="L1252" s="331"/>
      <c r="M1252" s="331"/>
      <c r="N1252" s="333"/>
      <c r="O1252" s="334"/>
      <c r="P1252" s="335"/>
      <c r="Q1252" s="312"/>
      <c r="R1252" s="76"/>
      <c r="S1252" s="327"/>
      <c r="T1252" s="306"/>
      <c r="U1252" s="306"/>
      <c r="W1252" s="267"/>
      <c r="X1252" s="240"/>
      <c r="Y1252" s="268"/>
      <c r="Z1252" s="240"/>
      <c r="AA1252" s="241"/>
    </row>
    <row r="1253" spans="1:27" s="322" customFormat="1">
      <c r="A1253" s="312"/>
      <c r="B1253" s="76"/>
      <c r="C1253" s="76"/>
      <c r="D1253" s="330"/>
      <c r="E1253" s="331"/>
      <c r="F1253" s="331"/>
      <c r="G1253" s="331"/>
      <c r="H1253" s="331"/>
      <c r="I1253" s="331"/>
      <c r="J1253" s="331"/>
      <c r="K1253" s="331"/>
      <c r="L1253" s="331"/>
      <c r="M1253" s="331"/>
      <c r="N1253" s="333"/>
      <c r="O1253" s="334"/>
      <c r="P1253" s="335"/>
      <c r="Q1253" s="312"/>
      <c r="R1253" s="76"/>
      <c r="S1253" s="327"/>
      <c r="T1253" s="306"/>
      <c r="U1253" s="306"/>
      <c r="W1253" s="267"/>
      <c r="X1253" s="240"/>
      <c r="Y1253" s="268"/>
      <c r="Z1253" s="240"/>
      <c r="AA1253" s="241"/>
    </row>
    <row r="1254" spans="1:27" s="322" customFormat="1">
      <c r="A1254" s="312"/>
      <c r="B1254" s="76"/>
      <c r="C1254" s="76"/>
      <c r="D1254" s="330"/>
      <c r="E1254" s="331"/>
      <c r="F1254" s="331"/>
      <c r="G1254" s="331"/>
      <c r="H1254" s="331"/>
      <c r="I1254" s="331"/>
      <c r="J1254" s="331"/>
      <c r="K1254" s="331"/>
      <c r="L1254" s="331"/>
      <c r="M1254" s="331"/>
      <c r="N1254" s="333"/>
      <c r="O1254" s="334"/>
      <c r="P1254" s="335"/>
      <c r="Q1254" s="312"/>
      <c r="R1254" s="76"/>
      <c r="S1254" s="327"/>
      <c r="T1254" s="306"/>
      <c r="U1254" s="306"/>
      <c r="W1254" s="267"/>
      <c r="X1254" s="240"/>
      <c r="Y1254" s="268"/>
      <c r="Z1254" s="240"/>
      <c r="AA1254" s="241"/>
    </row>
    <row r="1255" spans="1:27" s="322" customFormat="1">
      <c r="A1255" s="312"/>
      <c r="B1255" s="76"/>
      <c r="C1255" s="76"/>
      <c r="D1255" s="330"/>
      <c r="E1255" s="331"/>
      <c r="F1255" s="331"/>
      <c r="G1255" s="331"/>
      <c r="H1255" s="331"/>
      <c r="I1255" s="331"/>
      <c r="J1255" s="331"/>
      <c r="K1255" s="331"/>
      <c r="L1255" s="331"/>
      <c r="M1255" s="331"/>
      <c r="N1255" s="333"/>
      <c r="O1255" s="334"/>
      <c r="P1255" s="335"/>
      <c r="Q1255" s="314"/>
      <c r="R1255" s="315"/>
      <c r="S1255" s="327"/>
      <c r="T1255" s="306"/>
      <c r="U1255" s="306"/>
      <c r="W1255" s="267"/>
      <c r="X1255" s="240"/>
      <c r="Y1255" s="268"/>
      <c r="Z1255" s="240"/>
      <c r="AA1255" s="241"/>
    </row>
    <row r="1256" spans="1:27" s="322" customFormat="1">
      <c r="A1256" s="312"/>
      <c r="B1256" s="76"/>
      <c r="C1256" s="76"/>
      <c r="D1256" s="330"/>
      <c r="E1256" s="331"/>
      <c r="F1256" s="331"/>
      <c r="G1256" s="331"/>
      <c r="H1256" s="331"/>
      <c r="I1256" s="331"/>
      <c r="J1256" s="331"/>
      <c r="K1256" s="331"/>
      <c r="L1256" s="331"/>
      <c r="M1256" s="331"/>
      <c r="N1256" s="333"/>
      <c r="O1256" s="334"/>
      <c r="P1256" s="335"/>
      <c r="Q1256" s="314"/>
      <c r="R1256" s="315"/>
      <c r="S1256" s="327"/>
      <c r="T1256" s="306"/>
      <c r="U1256" s="306"/>
      <c r="W1256" s="267"/>
      <c r="X1256" s="240"/>
      <c r="Y1256" s="268"/>
      <c r="Z1256" s="240"/>
      <c r="AA1256" s="241"/>
    </row>
    <row r="1257" spans="1:27" s="322" customFormat="1">
      <c r="A1257" s="312"/>
      <c r="B1257" s="76"/>
      <c r="C1257" s="76"/>
      <c r="D1257" s="330"/>
      <c r="E1257" s="331"/>
      <c r="F1257" s="331"/>
      <c r="G1257" s="331"/>
      <c r="H1257" s="331"/>
      <c r="I1257" s="331"/>
      <c r="J1257" s="331"/>
      <c r="K1257" s="331"/>
      <c r="L1257" s="331"/>
      <c r="M1257" s="331"/>
      <c r="N1257" s="333"/>
      <c r="O1257" s="334"/>
      <c r="P1257" s="335"/>
      <c r="Q1257" s="314"/>
      <c r="R1257" s="315"/>
      <c r="S1257" s="327"/>
      <c r="T1257" s="306"/>
      <c r="U1257" s="306"/>
      <c r="W1257" s="267"/>
      <c r="X1257" s="240"/>
      <c r="Y1257" s="268"/>
      <c r="Z1257" s="240"/>
      <c r="AA1257" s="241"/>
    </row>
    <row r="1258" spans="1:27" s="322" customFormat="1">
      <c r="A1258" s="312"/>
      <c r="B1258" s="76"/>
      <c r="C1258" s="76"/>
      <c r="D1258" s="330"/>
      <c r="E1258" s="331"/>
      <c r="F1258" s="331"/>
      <c r="G1258" s="331"/>
      <c r="H1258" s="331"/>
      <c r="I1258" s="331"/>
      <c r="J1258" s="331"/>
      <c r="K1258" s="331"/>
      <c r="L1258" s="331"/>
      <c r="M1258" s="331"/>
      <c r="N1258" s="333"/>
      <c r="O1258" s="334"/>
      <c r="P1258" s="335"/>
      <c r="Q1258" s="314"/>
      <c r="R1258" s="315"/>
      <c r="S1258" s="327"/>
      <c r="T1258" s="306"/>
      <c r="U1258" s="306"/>
      <c r="W1258" s="267"/>
      <c r="X1258" s="240"/>
      <c r="Y1258" s="268"/>
      <c r="Z1258" s="240"/>
      <c r="AA1258" s="241"/>
    </row>
    <row r="1259" spans="1:27" s="322" customFormat="1">
      <c r="A1259" s="312"/>
      <c r="B1259" s="76"/>
      <c r="C1259" s="76"/>
      <c r="D1259" s="330"/>
      <c r="E1259" s="331"/>
      <c r="F1259" s="331"/>
      <c r="G1259" s="331"/>
      <c r="H1259" s="331"/>
      <c r="I1259" s="331"/>
      <c r="J1259" s="331"/>
      <c r="K1259" s="331"/>
      <c r="L1259" s="331"/>
      <c r="M1259" s="331"/>
      <c r="N1259" s="333"/>
      <c r="O1259" s="334"/>
      <c r="P1259" s="335"/>
      <c r="Q1259" s="314"/>
      <c r="R1259" s="315"/>
      <c r="S1259" s="327"/>
      <c r="T1259" s="306"/>
      <c r="U1259" s="306"/>
      <c r="W1259" s="267"/>
      <c r="X1259" s="240"/>
      <c r="Y1259" s="268"/>
      <c r="Z1259" s="240"/>
      <c r="AA1259" s="241"/>
    </row>
    <row r="1260" spans="1:27" s="322" customFormat="1">
      <c r="A1260" s="312"/>
      <c r="B1260" s="76"/>
      <c r="C1260" s="76"/>
      <c r="D1260" s="330"/>
      <c r="E1260" s="331"/>
      <c r="F1260" s="331"/>
      <c r="G1260" s="331"/>
      <c r="H1260" s="331"/>
      <c r="I1260" s="331"/>
      <c r="J1260" s="331"/>
      <c r="K1260" s="331"/>
      <c r="L1260" s="331"/>
      <c r="M1260" s="331"/>
      <c r="N1260" s="333"/>
      <c r="O1260" s="334"/>
      <c r="P1260" s="335"/>
      <c r="Q1260" s="314"/>
      <c r="R1260" s="315"/>
      <c r="S1260" s="327"/>
      <c r="T1260" s="306"/>
      <c r="U1260" s="306"/>
      <c r="W1260" s="267"/>
      <c r="X1260" s="240"/>
      <c r="Y1260" s="268"/>
      <c r="Z1260" s="240"/>
      <c r="AA1260" s="241"/>
    </row>
    <row r="1261" spans="1:27" s="322" customFormat="1">
      <c r="A1261" s="312"/>
      <c r="B1261" s="76"/>
      <c r="C1261" s="76"/>
      <c r="D1261" s="330"/>
      <c r="E1261" s="331"/>
      <c r="F1261" s="331"/>
      <c r="G1261" s="331"/>
      <c r="H1261" s="331"/>
      <c r="I1261" s="331"/>
      <c r="J1261" s="331"/>
      <c r="K1261" s="331"/>
      <c r="L1261" s="331"/>
      <c r="M1261" s="331"/>
      <c r="N1261" s="333"/>
      <c r="O1261" s="334"/>
      <c r="P1261" s="335"/>
      <c r="Q1261" s="314"/>
      <c r="R1261" s="315"/>
      <c r="S1261" s="327"/>
      <c r="T1261" s="306"/>
      <c r="U1261" s="306"/>
      <c r="W1261" s="267"/>
      <c r="X1261" s="240"/>
      <c r="Y1261" s="268"/>
      <c r="Z1261" s="240"/>
      <c r="AA1261" s="241"/>
    </row>
    <row r="1262" spans="1:27" s="322" customFormat="1">
      <c r="A1262" s="312"/>
      <c r="B1262" s="76"/>
      <c r="C1262" s="76"/>
      <c r="D1262" s="330"/>
      <c r="E1262" s="331"/>
      <c r="F1262" s="331"/>
      <c r="G1262" s="331"/>
      <c r="H1262" s="331"/>
      <c r="I1262" s="331"/>
      <c r="J1262" s="331"/>
      <c r="K1262" s="331"/>
      <c r="L1262" s="331"/>
      <c r="M1262" s="331"/>
      <c r="N1262" s="333"/>
      <c r="O1262" s="334"/>
      <c r="P1262" s="335"/>
      <c r="Q1262" s="314"/>
      <c r="R1262" s="315"/>
      <c r="S1262" s="327"/>
      <c r="T1262" s="306"/>
      <c r="U1262" s="306"/>
      <c r="W1262" s="267"/>
      <c r="X1262" s="240"/>
      <c r="Y1262" s="268"/>
      <c r="Z1262" s="240"/>
      <c r="AA1262" s="241"/>
    </row>
    <row r="1263" spans="1:27" s="322" customFormat="1">
      <c r="A1263" s="312"/>
      <c r="B1263" s="76"/>
      <c r="C1263" s="76"/>
      <c r="D1263" s="330"/>
      <c r="E1263" s="331"/>
      <c r="F1263" s="331"/>
      <c r="G1263" s="331"/>
      <c r="H1263" s="331"/>
      <c r="I1263" s="331"/>
      <c r="J1263" s="331"/>
      <c r="K1263" s="331"/>
      <c r="L1263" s="331"/>
      <c r="M1263" s="331"/>
      <c r="N1263" s="333"/>
      <c r="O1263" s="334"/>
      <c r="P1263" s="335"/>
      <c r="Q1263" s="314"/>
      <c r="R1263" s="315"/>
      <c r="S1263" s="327"/>
      <c r="T1263" s="306"/>
      <c r="U1263" s="306"/>
      <c r="W1263" s="267"/>
      <c r="X1263" s="240"/>
      <c r="Y1263" s="268"/>
      <c r="Z1263" s="240"/>
      <c r="AA1263" s="241"/>
    </row>
    <row r="1264" spans="1:27" s="322" customFormat="1">
      <c r="A1264" s="312"/>
      <c r="B1264" s="76"/>
      <c r="C1264" s="76"/>
      <c r="D1264" s="330"/>
      <c r="E1264" s="331"/>
      <c r="F1264" s="331"/>
      <c r="G1264" s="331"/>
      <c r="H1264" s="331"/>
      <c r="I1264" s="331"/>
      <c r="J1264" s="331"/>
      <c r="K1264" s="331"/>
      <c r="L1264" s="331"/>
      <c r="M1264" s="331"/>
      <c r="N1264" s="333"/>
      <c r="O1264" s="334"/>
      <c r="P1264" s="335"/>
      <c r="Q1264" s="314"/>
      <c r="R1264" s="315"/>
      <c r="S1264" s="327"/>
      <c r="T1264" s="306"/>
      <c r="U1264" s="306"/>
      <c r="W1264" s="267"/>
      <c r="X1264" s="240"/>
      <c r="Y1264" s="268"/>
      <c r="Z1264" s="240"/>
      <c r="AA1264" s="241"/>
    </row>
    <row r="1265" spans="1:27" s="322" customFormat="1">
      <c r="A1265" s="312"/>
      <c r="B1265" s="76"/>
      <c r="C1265" s="76"/>
      <c r="D1265" s="330"/>
      <c r="E1265" s="331"/>
      <c r="F1265" s="331"/>
      <c r="G1265" s="331"/>
      <c r="H1265" s="331"/>
      <c r="I1265" s="331"/>
      <c r="J1265" s="331"/>
      <c r="K1265" s="331"/>
      <c r="L1265" s="331"/>
      <c r="M1265" s="331"/>
      <c r="N1265" s="333"/>
      <c r="O1265" s="334"/>
      <c r="P1265" s="335"/>
      <c r="Q1265" s="335"/>
      <c r="R1265" s="86"/>
      <c r="S1265" s="327"/>
      <c r="T1265" s="306"/>
      <c r="U1265" s="306"/>
      <c r="W1265" s="267"/>
      <c r="X1265" s="240"/>
      <c r="Y1265" s="268"/>
      <c r="Z1265" s="240"/>
      <c r="AA1265" s="241"/>
    </row>
    <row r="1266" spans="1:27" s="322" customFormat="1">
      <c r="A1266" s="312"/>
      <c r="B1266" s="76"/>
      <c r="C1266" s="76"/>
      <c r="D1266" s="330"/>
      <c r="E1266" s="331"/>
      <c r="F1266" s="331"/>
      <c r="G1266" s="331"/>
      <c r="H1266" s="331"/>
      <c r="I1266" s="331"/>
      <c r="J1266" s="331"/>
      <c r="K1266" s="331"/>
      <c r="L1266" s="331"/>
      <c r="M1266" s="331"/>
      <c r="N1266" s="333"/>
      <c r="O1266" s="334"/>
      <c r="P1266" s="335"/>
      <c r="Q1266" s="335"/>
      <c r="R1266" s="86"/>
      <c r="S1266" s="327"/>
      <c r="T1266" s="306"/>
      <c r="U1266" s="306"/>
      <c r="W1266" s="267"/>
      <c r="X1266" s="240"/>
      <c r="Y1266" s="268"/>
      <c r="Z1266" s="240"/>
      <c r="AA1266" s="241"/>
    </row>
    <row r="1267" spans="1:27" s="322" customFormat="1">
      <c r="A1267" s="312"/>
      <c r="B1267" s="76"/>
      <c r="C1267" s="76"/>
      <c r="D1267" s="330"/>
      <c r="E1267" s="331"/>
      <c r="F1267" s="331"/>
      <c r="G1267" s="331"/>
      <c r="H1267" s="331"/>
      <c r="I1267" s="331"/>
      <c r="J1267" s="331"/>
      <c r="K1267" s="331"/>
      <c r="L1267" s="331"/>
      <c r="M1267" s="331"/>
      <c r="N1267" s="333"/>
      <c r="O1267" s="334"/>
      <c r="P1267" s="335"/>
      <c r="Q1267" s="312"/>
      <c r="R1267" s="76"/>
      <c r="S1267" s="327"/>
      <c r="T1267" s="306"/>
      <c r="U1267" s="306"/>
      <c r="W1267" s="267"/>
      <c r="X1267" s="240"/>
      <c r="Y1267" s="268"/>
      <c r="Z1267" s="240"/>
      <c r="AA1267" s="241"/>
    </row>
    <row r="1268" spans="1:27" s="322" customFormat="1">
      <c r="A1268" s="312"/>
      <c r="B1268" s="76"/>
      <c r="C1268" s="76"/>
      <c r="D1268" s="330"/>
      <c r="E1268" s="331"/>
      <c r="F1268" s="331"/>
      <c r="G1268" s="331"/>
      <c r="H1268" s="331"/>
      <c r="I1268" s="331"/>
      <c r="J1268" s="331"/>
      <c r="K1268" s="331"/>
      <c r="L1268" s="331"/>
      <c r="M1268" s="331"/>
      <c r="N1268" s="333"/>
      <c r="O1268" s="334"/>
      <c r="P1268" s="335"/>
      <c r="Q1268" s="312"/>
      <c r="R1268" s="76"/>
      <c r="S1268" s="327"/>
      <c r="T1268" s="306"/>
      <c r="U1268" s="306"/>
      <c r="W1268" s="267"/>
      <c r="X1268" s="240"/>
      <c r="Y1268" s="268"/>
      <c r="Z1268" s="240"/>
      <c r="AA1268" s="241"/>
    </row>
    <row r="1269" spans="1:27" s="322" customFormat="1">
      <c r="A1269" s="312"/>
      <c r="B1269" s="76"/>
      <c r="C1269" s="76"/>
      <c r="D1269" s="330"/>
      <c r="E1269" s="331"/>
      <c r="F1269" s="331"/>
      <c r="G1269" s="331"/>
      <c r="H1269" s="331"/>
      <c r="I1269" s="331"/>
      <c r="J1269" s="331"/>
      <c r="K1269" s="331"/>
      <c r="L1269" s="331"/>
      <c r="M1269" s="331"/>
      <c r="N1269" s="333"/>
      <c r="O1269" s="334"/>
      <c r="P1269" s="335"/>
      <c r="Q1269" s="312"/>
      <c r="R1269" s="76"/>
      <c r="S1269" s="327"/>
      <c r="T1269" s="306"/>
      <c r="U1269" s="306"/>
      <c r="W1269" s="267"/>
      <c r="X1269" s="240"/>
      <c r="Y1269" s="268"/>
      <c r="Z1269" s="240"/>
      <c r="AA1269" s="241"/>
    </row>
    <row r="1270" spans="1:27" s="322" customFormat="1">
      <c r="A1270" s="312"/>
      <c r="B1270" s="76"/>
      <c r="C1270" s="76"/>
      <c r="D1270" s="330"/>
      <c r="E1270" s="331"/>
      <c r="F1270" s="331"/>
      <c r="G1270" s="331"/>
      <c r="H1270" s="331"/>
      <c r="I1270" s="331"/>
      <c r="J1270" s="331"/>
      <c r="K1270" s="331"/>
      <c r="L1270" s="331"/>
      <c r="M1270" s="331"/>
      <c r="N1270" s="333"/>
      <c r="O1270" s="334"/>
      <c r="P1270" s="335"/>
      <c r="Q1270" s="312"/>
      <c r="R1270" s="76"/>
      <c r="S1270" s="327"/>
      <c r="T1270" s="306"/>
      <c r="U1270" s="306"/>
      <c r="W1270" s="267"/>
      <c r="X1270" s="240"/>
      <c r="Y1270" s="268"/>
      <c r="Z1270" s="240"/>
      <c r="AA1270" s="241"/>
    </row>
    <row r="1271" spans="1:27" s="322" customFormat="1">
      <c r="A1271" s="312"/>
      <c r="B1271" s="76"/>
      <c r="C1271" s="76"/>
      <c r="D1271" s="330"/>
      <c r="E1271" s="331"/>
      <c r="F1271" s="331"/>
      <c r="G1271" s="331"/>
      <c r="H1271" s="331"/>
      <c r="I1271" s="331"/>
      <c r="J1271" s="331"/>
      <c r="K1271" s="331"/>
      <c r="L1271" s="331"/>
      <c r="M1271" s="331"/>
      <c r="N1271" s="333"/>
      <c r="O1271" s="334"/>
      <c r="P1271" s="335"/>
      <c r="Q1271" s="312"/>
      <c r="R1271" s="76"/>
      <c r="S1271" s="327"/>
      <c r="T1271" s="306"/>
      <c r="U1271" s="306"/>
      <c r="W1271" s="267"/>
      <c r="X1271" s="240"/>
      <c r="Y1271" s="268"/>
      <c r="Z1271" s="240"/>
      <c r="AA1271" s="241"/>
    </row>
    <row r="1272" spans="1:27" s="322" customFormat="1">
      <c r="A1272" s="312"/>
      <c r="B1272" s="76"/>
      <c r="C1272" s="76"/>
      <c r="D1272" s="330"/>
      <c r="E1272" s="331"/>
      <c r="F1272" s="331"/>
      <c r="G1272" s="331"/>
      <c r="H1272" s="331"/>
      <c r="I1272" s="331"/>
      <c r="J1272" s="331"/>
      <c r="K1272" s="331"/>
      <c r="L1272" s="331"/>
      <c r="M1272" s="331"/>
      <c r="N1272" s="333"/>
      <c r="O1272" s="334"/>
      <c r="P1272" s="335"/>
      <c r="Q1272" s="312"/>
      <c r="R1272" s="76"/>
      <c r="S1272" s="327"/>
      <c r="T1272" s="306"/>
      <c r="U1272" s="306"/>
      <c r="W1272" s="267"/>
      <c r="X1272" s="240"/>
      <c r="Y1272" s="268"/>
      <c r="Z1272" s="240"/>
      <c r="AA1272" s="241"/>
    </row>
    <row r="1273" spans="1:27" s="322" customFormat="1">
      <c r="A1273" s="312"/>
      <c r="B1273" s="76"/>
      <c r="C1273" s="76"/>
      <c r="D1273" s="330"/>
      <c r="E1273" s="331"/>
      <c r="F1273" s="331"/>
      <c r="G1273" s="331"/>
      <c r="H1273" s="331"/>
      <c r="I1273" s="331"/>
      <c r="J1273" s="331"/>
      <c r="K1273" s="331"/>
      <c r="L1273" s="331"/>
      <c r="M1273" s="331"/>
      <c r="N1273" s="333"/>
      <c r="O1273" s="334"/>
      <c r="P1273" s="335"/>
      <c r="Q1273" s="312"/>
      <c r="R1273" s="76"/>
      <c r="S1273" s="327"/>
      <c r="T1273" s="306"/>
      <c r="U1273" s="306"/>
      <c r="W1273" s="267"/>
      <c r="X1273" s="240"/>
      <c r="Y1273" s="268"/>
      <c r="Z1273" s="240"/>
      <c r="AA1273" s="241"/>
    </row>
    <row r="1274" spans="1:27" s="322" customFormat="1">
      <c r="A1274" s="312"/>
      <c r="B1274" s="76"/>
      <c r="C1274" s="76"/>
      <c r="D1274" s="330"/>
      <c r="E1274" s="331"/>
      <c r="F1274" s="331"/>
      <c r="G1274" s="331"/>
      <c r="H1274" s="331"/>
      <c r="I1274" s="331"/>
      <c r="J1274" s="331"/>
      <c r="K1274" s="331"/>
      <c r="L1274" s="331"/>
      <c r="M1274" s="331"/>
      <c r="N1274" s="333"/>
      <c r="O1274" s="334"/>
      <c r="P1274" s="335"/>
      <c r="Q1274" s="312"/>
      <c r="R1274" s="76"/>
      <c r="S1274" s="327"/>
      <c r="T1274" s="306"/>
      <c r="U1274" s="306"/>
      <c r="W1274" s="267"/>
      <c r="X1274" s="240"/>
      <c r="Y1274" s="268"/>
      <c r="Z1274" s="240"/>
      <c r="AA1274" s="241"/>
    </row>
    <row r="1275" spans="1:27" s="322" customFormat="1">
      <c r="A1275" s="312"/>
      <c r="B1275" s="76"/>
      <c r="C1275" s="76"/>
      <c r="D1275" s="330"/>
      <c r="E1275" s="331"/>
      <c r="F1275" s="331"/>
      <c r="G1275" s="331"/>
      <c r="H1275" s="331"/>
      <c r="I1275" s="331"/>
      <c r="J1275" s="331"/>
      <c r="K1275" s="331"/>
      <c r="L1275" s="331"/>
      <c r="M1275" s="331"/>
      <c r="N1275" s="333"/>
      <c r="O1275" s="334"/>
      <c r="P1275" s="335"/>
      <c r="Q1275" s="312"/>
      <c r="R1275" s="76"/>
      <c r="S1275" s="327"/>
      <c r="T1275" s="306"/>
      <c r="U1275" s="306"/>
      <c r="W1275" s="267"/>
      <c r="X1275" s="240"/>
      <c r="Y1275" s="268"/>
      <c r="Z1275" s="240"/>
      <c r="AA1275" s="241"/>
    </row>
    <row r="1276" spans="1:27" s="322" customFormat="1">
      <c r="A1276" s="312"/>
      <c r="B1276" s="76"/>
      <c r="C1276" s="76"/>
      <c r="D1276" s="330"/>
      <c r="E1276" s="331"/>
      <c r="F1276" s="331"/>
      <c r="G1276" s="331"/>
      <c r="H1276" s="331"/>
      <c r="I1276" s="331"/>
      <c r="J1276" s="331"/>
      <c r="K1276" s="331"/>
      <c r="L1276" s="331"/>
      <c r="M1276" s="331"/>
      <c r="N1276" s="333"/>
      <c r="O1276" s="334"/>
      <c r="P1276" s="335"/>
      <c r="Q1276" s="312"/>
      <c r="R1276" s="76"/>
      <c r="S1276" s="327"/>
      <c r="T1276" s="306"/>
      <c r="U1276" s="306"/>
      <c r="W1276" s="267"/>
      <c r="X1276" s="240"/>
      <c r="Y1276" s="268"/>
      <c r="Z1276" s="240"/>
      <c r="AA1276" s="241"/>
    </row>
    <row r="1277" spans="1:27" s="322" customFormat="1">
      <c r="A1277" s="312"/>
      <c r="B1277" s="76"/>
      <c r="C1277" s="76"/>
      <c r="D1277" s="330"/>
      <c r="E1277" s="331"/>
      <c r="F1277" s="331"/>
      <c r="G1277" s="331"/>
      <c r="H1277" s="331"/>
      <c r="I1277" s="331"/>
      <c r="J1277" s="331"/>
      <c r="K1277" s="331"/>
      <c r="L1277" s="331"/>
      <c r="M1277" s="331"/>
      <c r="N1277" s="333"/>
      <c r="O1277" s="334"/>
      <c r="P1277" s="335"/>
      <c r="Q1277" s="312"/>
      <c r="R1277" s="76"/>
      <c r="S1277" s="327"/>
      <c r="T1277" s="306"/>
      <c r="U1277" s="306"/>
      <c r="W1277" s="267"/>
      <c r="X1277" s="240"/>
      <c r="Y1277" s="268"/>
      <c r="Z1277" s="240"/>
      <c r="AA1277" s="241"/>
    </row>
    <row r="1278" spans="1:27" s="322" customFormat="1">
      <c r="A1278" s="312"/>
      <c r="B1278" s="80"/>
      <c r="C1278" s="80"/>
      <c r="D1278" s="330"/>
      <c r="E1278" s="331"/>
      <c r="F1278" s="331"/>
      <c r="G1278" s="331"/>
      <c r="H1278" s="331"/>
      <c r="I1278" s="331"/>
      <c r="J1278" s="331"/>
      <c r="K1278" s="331"/>
      <c r="L1278" s="331"/>
      <c r="M1278" s="331"/>
      <c r="N1278" s="333"/>
      <c r="O1278" s="334"/>
      <c r="P1278" s="335"/>
      <c r="Q1278" s="312"/>
      <c r="R1278" s="76"/>
      <c r="S1278" s="327"/>
      <c r="T1278" s="306"/>
      <c r="U1278" s="306"/>
      <c r="W1278" s="267"/>
      <c r="X1278" s="240"/>
      <c r="Y1278" s="268"/>
      <c r="Z1278" s="240"/>
      <c r="AA1278" s="241"/>
    </row>
    <row r="1279" spans="1:27">
      <c r="A1279" s="312"/>
      <c r="B1279" s="80"/>
      <c r="C1279" s="80"/>
      <c r="D1279" s="330"/>
      <c r="E1279" s="331"/>
      <c r="F1279" s="331"/>
      <c r="G1279" s="331"/>
      <c r="H1279" s="331"/>
      <c r="I1279" s="331"/>
      <c r="J1279" s="331"/>
      <c r="K1279" s="331"/>
      <c r="L1279" s="331"/>
      <c r="M1279" s="331"/>
      <c r="N1279" s="333"/>
      <c r="O1279" s="334"/>
      <c r="P1279" s="335"/>
      <c r="Q1279" s="335"/>
      <c r="R1279" s="86"/>
      <c r="S1279" s="327"/>
      <c r="T1279" s="306"/>
      <c r="U1279" s="306"/>
    </row>
    <row r="1280" spans="1:27">
      <c r="A1280" s="312"/>
      <c r="B1280" s="80"/>
      <c r="C1280" s="80"/>
      <c r="D1280" s="330"/>
      <c r="E1280" s="331"/>
      <c r="F1280" s="331"/>
      <c r="G1280" s="331"/>
      <c r="H1280" s="331"/>
      <c r="I1280" s="331"/>
      <c r="J1280" s="331"/>
      <c r="K1280" s="331"/>
      <c r="L1280" s="331"/>
      <c r="M1280" s="331"/>
      <c r="N1280" s="333"/>
      <c r="O1280" s="334"/>
      <c r="P1280" s="335"/>
      <c r="Q1280" s="335"/>
      <c r="R1280" s="86"/>
      <c r="S1280" s="327"/>
      <c r="T1280" s="306"/>
      <c r="U1280" s="306"/>
    </row>
    <row r="1281" spans="1:27">
      <c r="A1281" s="312"/>
      <c r="B1281" s="80"/>
      <c r="C1281" s="80"/>
      <c r="D1281" s="330"/>
      <c r="E1281" s="331"/>
      <c r="F1281" s="331"/>
      <c r="G1281" s="331"/>
      <c r="H1281" s="331"/>
      <c r="I1281" s="331"/>
      <c r="J1281" s="331"/>
      <c r="K1281" s="331"/>
      <c r="L1281" s="331"/>
      <c r="M1281" s="331"/>
      <c r="N1281" s="333"/>
      <c r="O1281" s="334"/>
      <c r="P1281" s="335"/>
      <c r="Q1281" s="312"/>
      <c r="R1281" s="76"/>
      <c r="S1281" s="327"/>
      <c r="T1281" s="306"/>
      <c r="U1281" s="306"/>
    </row>
    <row r="1282" spans="1:27">
      <c r="A1282" s="312"/>
      <c r="B1282" s="80"/>
      <c r="C1282" s="80"/>
      <c r="D1282" s="330"/>
      <c r="E1282" s="331"/>
      <c r="F1282" s="331"/>
      <c r="G1282" s="331"/>
      <c r="H1282" s="331"/>
      <c r="I1282" s="331"/>
      <c r="J1282" s="331"/>
      <c r="K1282" s="331"/>
      <c r="L1282" s="331"/>
      <c r="M1282" s="331"/>
      <c r="N1282" s="333"/>
      <c r="O1282" s="334"/>
      <c r="P1282" s="335"/>
      <c r="Q1282" s="335"/>
      <c r="R1282" s="86"/>
      <c r="S1282" s="327"/>
      <c r="T1282" s="306"/>
      <c r="U1282" s="306"/>
    </row>
    <row r="1283" spans="1:27">
      <c r="A1283" s="312"/>
      <c r="B1283" s="80"/>
      <c r="C1283" s="80"/>
      <c r="D1283" s="330"/>
      <c r="E1283" s="331"/>
      <c r="F1283" s="331"/>
      <c r="G1283" s="331"/>
      <c r="H1283" s="331"/>
      <c r="I1283" s="331"/>
      <c r="J1283" s="331"/>
      <c r="K1283" s="331"/>
      <c r="L1283" s="331"/>
      <c r="M1283" s="331"/>
      <c r="N1283" s="333"/>
      <c r="O1283" s="334"/>
      <c r="P1283" s="335"/>
      <c r="Q1283" s="309"/>
      <c r="R1283" s="86"/>
      <c r="S1283" s="327"/>
      <c r="T1283" s="306"/>
      <c r="U1283" s="306"/>
    </row>
    <row r="1284" spans="1:27">
      <c r="A1284" s="312"/>
      <c r="B1284" s="80"/>
      <c r="C1284" s="80"/>
      <c r="D1284" s="330"/>
      <c r="E1284" s="331"/>
      <c r="F1284" s="331"/>
      <c r="G1284" s="331"/>
      <c r="H1284" s="331"/>
      <c r="I1284" s="331"/>
      <c r="J1284" s="331"/>
      <c r="K1284" s="331"/>
      <c r="L1284" s="331"/>
      <c r="M1284" s="331"/>
      <c r="N1284" s="333"/>
      <c r="O1284" s="334"/>
      <c r="P1284" s="335"/>
      <c r="Q1284" s="309"/>
      <c r="R1284" s="86"/>
      <c r="S1284" s="327"/>
      <c r="T1284" s="306"/>
      <c r="U1284" s="306"/>
    </row>
    <row r="1285" spans="1:27">
      <c r="A1285" s="312"/>
      <c r="B1285" s="80"/>
      <c r="C1285" s="80"/>
      <c r="D1285" s="330"/>
      <c r="E1285" s="331"/>
      <c r="F1285" s="331"/>
      <c r="G1285" s="331"/>
      <c r="H1285" s="331"/>
      <c r="I1285" s="331"/>
      <c r="J1285" s="331"/>
      <c r="K1285" s="331"/>
      <c r="L1285" s="331"/>
      <c r="M1285" s="331"/>
      <c r="N1285" s="333"/>
      <c r="O1285" s="334"/>
      <c r="P1285" s="335"/>
      <c r="Q1285" s="309"/>
      <c r="R1285" s="86"/>
      <c r="S1285" s="327"/>
      <c r="T1285" s="306"/>
      <c r="U1285" s="306"/>
    </row>
    <row r="1286" spans="1:27">
      <c r="A1286" s="312"/>
      <c r="B1286" s="80"/>
      <c r="C1286" s="80"/>
      <c r="D1286" s="330"/>
      <c r="E1286" s="331"/>
      <c r="F1286" s="331"/>
      <c r="G1286" s="331"/>
      <c r="H1286" s="331"/>
      <c r="I1286" s="331"/>
      <c r="J1286" s="331"/>
      <c r="K1286" s="331"/>
      <c r="L1286" s="331"/>
      <c r="M1286" s="331"/>
      <c r="N1286" s="333"/>
      <c r="O1286" s="334"/>
      <c r="P1286" s="335"/>
      <c r="Q1286" s="309"/>
      <c r="R1286" s="86"/>
      <c r="S1286" s="327"/>
      <c r="T1286" s="306"/>
      <c r="U1286" s="306"/>
    </row>
    <row r="1287" spans="1:27">
      <c r="A1287" s="312"/>
      <c r="B1287" s="80"/>
      <c r="C1287" s="80"/>
      <c r="D1287" s="330"/>
      <c r="E1287" s="331"/>
      <c r="F1287" s="331"/>
      <c r="G1287" s="331"/>
      <c r="H1287" s="331"/>
      <c r="I1287" s="331"/>
      <c r="J1287" s="331"/>
      <c r="K1287" s="331"/>
      <c r="L1287" s="331"/>
      <c r="M1287" s="331"/>
      <c r="N1287" s="333"/>
      <c r="O1287" s="334"/>
      <c r="P1287" s="335"/>
      <c r="Q1287" s="309"/>
      <c r="R1287" s="86"/>
      <c r="S1287" s="327"/>
      <c r="T1287" s="306"/>
      <c r="U1287" s="306"/>
    </row>
    <row r="1288" spans="1:27">
      <c r="A1288" s="312"/>
      <c r="B1288" s="80"/>
      <c r="C1288" s="80"/>
      <c r="D1288" s="330"/>
      <c r="E1288" s="331"/>
      <c r="F1288" s="331"/>
      <c r="G1288" s="331"/>
      <c r="H1288" s="331"/>
      <c r="I1288" s="331"/>
      <c r="J1288" s="331"/>
      <c r="K1288" s="331"/>
      <c r="L1288" s="331"/>
      <c r="M1288" s="331"/>
      <c r="N1288" s="333"/>
      <c r="O1288" s="334"/>
      <c r="P1288" s="335"/>
      <c r="Q1288" s="309"/>
      <c r="R1288" s="86"/>
      <c r="S1288" s="327"/>
      <c r="T1288" s="306"/>
      <c r="U1288" s="306"/>
    </row>
    <row r="1289" spans="1:27">
      <c r="A1289" s="312"/>
      <c r="B1289" s="80"/>
      <c r="C1289" s="80"/>
      <c r="D1289" s="330"/>
      <c r="E1289" s="331"/>
      <c r="F1289" s="331"/>
      <c r="G1289" s="331"/>
      <c r="H1289" s="331"/>
      <c r="I1289" s="331"/>
      <c r="J1289" s="331"/>
      <c r="K1289" s="331"/>
      <c r="L1289" s="331"/>
      <c r="M1289" s="331"/>
      <c r="N1289" s="333"/>
      <c r="O1289" s="334"/>
      <c r="P1289" s="335"/>
      <c r="Q1289" s="309"/>
      <c r="R1289" s="86"/>
      <c r="S1289" s="327"/>
      <c r="T1289" s="306"/>
      <c r="U1289" s="306"/>
    </row>
    <row r="1290" spans="1:27">
      <c r="A1290" s="312"/>
      <c r="B1290" s="80"/>
      <c r="C1290" s="80"/>
      <c r="D1290" s="330"/>
      <c r="E1290" s="331"/>
      <c r="F1290" s="331"/>
      <c r="G1290" s="331"/>
      <c r="H1290" s="331"/>
      <c r="I1290" s="331"/>
      <c r="J1290" s="331"/>
      <c r="K1290" s="331"/>
      <c r="L1290" s="331"/>
      <c r="M1290" s="331"/>
      <c r="N1290" s="333"/>
      <c r="O1290" s="334"/>
      <c r="P1290" s="335"/>
      <c r="Q1290" s="309"/>
      <c r="R1290" s="86"/>
      <c r="S1290" s="327"/>
      <c r="T1290" s="306"/>
      <c r="U1290" s="306"/>
    </row>
    <row r="1291" spans="1:27">
      <c r="A1291" s="309"/>
      <c r="B1291" s="81"/>
      <c r="C1291" s="81"/>
      <c r="D1291" s="336"/>
      <c r="E1291" s="335"/>
      <c r="F1291" s="335"/>
      <c r="G1291" s="335"/>
      <c r="H1291" s="335"/>
      <c r="I1291" s="335"/>
      <c r="J1291" s="335"/>
      <c r="K1291" s="335"/>
      <c r="L1291" s="335"/>
      <c r="M1291" s="331"/>
      <c r="N1291" s="337"/>
      <c r="O1291" s="338"/>
      <c r="P1291" s="309"/>
      <c r="Q1291" s="309"/>
      <c r="R1291" s="86"/>
      <c r="S1291" s="339"/>
      <c r="T1291" s="306"/>
      <c r="U1291" s="306"/>
    </row>
    <row r="1292" spans="1:27">
      <c r="A1292" s="309"/>
      <c r="B1292" s="300"/>
      <c r="C1292" s="300"/>
      <c r="D1292" s="340"/>
      <c r="E1292" s="306"/>
      <c r="F1292" s="306"/>
      <c r="G1292" s="306"/>
      <c r="H1292" s="306"/>
      <c r="I1292" s="306"/>
      <c r="J1292" s="306"/>
      <c r="K1292" s="306"/>
      <c r="L1292" s="306"/>
      <c r="M1292" s="315"/>
      <c r="N1292" s="337"/>
      <c r="O1292" s="338"/>
      <c r="P1292" s="300"/>
      <c r="Q1292" s="309"/>
      <c r="R1292" s="86"/>
      <c r="S1292" s="339"/>
      <c r="T1292" s="306"/>
      <c r="U1292" s="306"/>
    </row>
    <row r="1293" spans="1:27">
      <c r="A1293" s="309"/>
      <c r="B1293" s="81"/>
      <c r="C1293" s="81"/>
      <c r="D1293" s="336"/>
      <c r="E1293" s="335"/>
      <c r="F1293" s="335"/>
      <c r="G1293" s="335"/>
      <c r="H1293" s="335"/>
      <c r="I1293" s="335"/>
      <c r="J1293" s="335"/>
      <c r="K1293" s="335"/>
      <c r="L1293" s="335"/>
      <c r="M1293" s="331"/>
      <c r="N1293" s="337"/>
      <c r="O1293" s="338"/>
      <c r="P1293" s="309"/>
      <c r="Q1293" s="300"/>
      <c r="R1293" s="306"/>
      <c r="S1293" s="339"/>
      <c r="T1293" s="306"/>
      <c r="U1293" s="306"/>
    </row>
    <row r="1294" spans="1:27" s="349" customFormat="1">
      <c r="A1294" s="341"/>
      <c r="B1294" s="342"/>
      <c r="C1294" s="342"/>
      <c r="D1294" s="343"/>
      <c r="E1294" s="341"/>
      <c r="F1294" s="341"/>
      <c r="G1294" s="341"/>
      <c r="H1294" s="341"/>
      <c r="I1294" s="341"/>
      <c r="J1294" s="341"/>
      <c r="K1294" s="341"/>
      <c r="L1294" s="341"/>
      <c r="M1294" s="344"/>
      <c r="N1294" s="342"/>
      <c r="O1294" s="342"/>
      <c r="P1294" s="341"/>
      <c r="Q1294" s="309"/>
      <c r="R1294" s="86"/>
      <c r="S1294" s="345"/>
      <c r="T1294" s="346"/>
      <c r="U1294" s="346"/>
      <c r="V1294" s="347"/>
      <c r="W1294" s="348"/>
      <c r="Y1294" s="350"/>
      <c r="AA1294" s="347"/>
    </row>
    <row r="1295" spans="1:27" s="349" customFormat="1">
      <c r="A1295" s="341"/>
      <c r="B1295" s="342"/>
      <c r="C1295" s="342"/>
      <c r="D1295" s="343"/>
      <c r="E1295" s="341"/>
      <c r="F1295" s="341"/>
      <c r="G1295" s="341"/>
      <c r="H1295" s="341"/>
      <c r="I1295" s="341"/>
      <c r="J1295" s="341"/>
      <c r="K1295" s="341"/>
      <c r="L1295" s="341"/>
      <c r="M1295" s="344"/>
      <c r="N1295" s="342"/>
      <c r="O1295" s="351"/>
      <c r="P1295" s="352"/>
      <c r="Q1295" s="341"/>
      <c r="R1295" s="346"/>
      <c r="S1295" s="345"/>
      <c r="T1295" s="346"/>
      <c r="U1295" s="346"/>
      <c r="V1295" s="347"/>
      <c r="W1295" s="348"/>
      <c r="Y1295" s="350"/>
      <c r="AA1295" s="347"/>
    </row>
    <row r="1296" spans="1:27" s="349" customFormat="1">
      <c r="A1296" s="341"/>
      <c r="B1296" s="342"/>
      <c r="C1296" s="342"/>
      <c r="D1296" s="343"/>
      <c r="E1296" s="341"/>
      <c r="F1296" s="341"/>
      <c r="G1296" s="341"/>
      <c r="H1296" s="341"/>
      <c r="I1296" s="341"/>
      <c r="J1296" s="341"/>
      <c r="K1296" s="341"/>
      <c r="L1296" s="341"/>
      <c r="M1296" s="344"/>
      <c r="N1296" s="342"/>
      <c r="O1296" s="351"/>
      <c r="P1296" s="352"/>
      <c r="Q1296" s="352"/>
      <c r="R1296" s="353"/>
      <c r="S1296" s="345"/>
      <c r="T1296" s="346"/>
      <c r="U1296" s="346"/>
      <c r="V1296" s="347"/>
      <c r="W1296" s="348"/>
      <c r="Y1296" s="350"/>
      <c r="AA1296" s="347"/>
    </row>
    <row r="1297" spans="1:27" s="349" customFormat="1">
      <c r="A1297" s="341"/>
      <c r="B1297" s="342"/>
      <c r="C1297" s="342"/>
      <c r="D1297" s="343"/>
      <c r="E1297" s="341"/>
      <c r="F1297" s="341"/>
      <c r="G1297" s="341"/>
      <c r="H1297" s="341"/>
      <c r="I1297" s="341"/>
      <c r="J1297" s="341"/>
      <c r="K1297" s="341"/>
      <c r="L1297" s="341"/>
      <c r="M1297" s="344"/>
      <c r="N1297" s="342"/>
      <c r="O1297" s="351"/>
      <c r="P1297" s="352"/>
      <c r="Q1297" s="352"/>
      <c r="R1297" s="353"/>
      <c r="S1297" s="345"/>
      <c r="T1297" s="346"/>
      <c r="U1297" s="346"/>
      <c r="V1297" s="347"/>
      <c r="W1297" s="348"/>
      <c r="Y1297" s="350"/>
      <c r="AA1297" s="347"/>
    </row>
    <row r="1298" spans="1:27" s="349" customFormat="1">
      <c r="A1298" s="341"/>
      <c r="B1298" s="342"/>
      <c r="C1298" s="342"/>
      <c r="D1298" s="343"/>
      <c r="E1298" s="341"/>
      <c r="F1298" s="341"/>
      <c r="G1298" s="341"/>
      <c r="H1298" s="341"/>
      <c r="I1298" s="341"/>
      <c r="J1298" s="341"/>
      <c r="K1298" s="341"/>
      <c r="L1298" s="341"/>
      <c r="M1298" s="344"/>
      <c r="N1298" s="342"/>
      <c r="O1298" s="351"/>
      <c r="P1298" s="352"/>
      <c r="Q1298" s="352"/>
      <c r="R1298" s="353"/>
      <c r="S1298" s="345"/>
      <c r="T1298" s="346"/>
      <c r="U1298" s="346"/>
      <c r="V1298" s="347"/>
      <c r="W1298" s="348"/>
      <c r="Y1298" s="350"/>
      <c r="AA1298" s="347"/>
    </row>
    <row r="1299" spans="1:27" s="349" customFormat="1">
      <c r="B1299" s="347"/>
      <c r="C1299" s="347"/>
      <c r="D1299" s="354"/>
      <c r="M1299" s="355"/>
      <c r="N1299" s="347"/>
      <c r="O1299" s="356"/>
      <c r="P1299" s="357"/>
      <c r="Q1299" s="352"/>
      <c r="R1299" s="353"/>
      <c r="S1299" s="358"/>
      <c r="T1299" s="348"/>
      <c r="U1299" s="348"/>
      <c r="V1299" s="347"/>
      <c r="W1299" s="348"/>
      <c r="Y1299" s="350"/>
      <c r="AA1299" s="347"/>
    </row>
    <row r="1300" spans="1:27" s="349" customFormat="1">
      <c r="B1300" s="347"/>
      <c r="C1300" s="347"/>
      <c r="D1300" s="354"/>
      <c r="M1300" s="355"/>
      <c r="N1300" s="347"/>
      <c r="O1300" s="356"/>
      <c r="P1300" s="357"/>
      <c r="Q1300" s="357"/>
      <c r="R1300" s="359"/>
      <c r="S1300" s="358"/>
      <c r="T1300" s="348"/>
      <c r="U1300" s="348"/>
      <c r="V1300" s="347"/>
      <c r="W1300" s="348"/>
      <c r="Y1300" s="350"/>
      <c r="AA1300" s="347"/>
    </row>
    <row r="1301" spans="1:27" s="349" customFormat="1">
      <c r="B1301" s="347"/>
      <c r="C1301" s="347"/>
      <c r="D1301" s="354"/>
      <c r="M1301" s="355"/>
      <c r="N1301" s="347"/>
      <c r="O1301" s="356"/>
      <c r="P1301" s="357"/>
      <c r="Q1301" s="357"/>
      <c r="R1301" s="359"/>
      <c r="S1301" s="358"/>
      <c r="T1301" s="348"/>
      <c r="U1301" s="348"/>
      <c r="V1301" s="347"/>
      <c r="W1301" s="348"/>
      <c r="Y1301" s="350"/>
      <c r="AA1301" s="347"/>
    </row>
    <row r="1302" spans="1:27" s="349" customFormat="1">
      <c r="B1302" s="347"/>
      <c r="C1302" s="347"/>
      <c r="D1302" s="354"/>
      <c r="M1302" s="355"/>
      <c r="N1302" s="347"/>
      <c r="O1302" s="356"/>
      <c r="P1302" s="357"/>
      <c r="Q1302" s="357"/>
      <c r="R1302" s="359"/>
      <c r="S1302" s="358"/>
      <c r="T1302" s="348"/>
      <c r="U1302" s="348"/>
      <c r="V1302" s="347"/>
      <c r="W1302" s="348"/>
      <c r="Y1302" s="350"/>
      <c r="AA1302" s="347"/>
    </row>
    <row r="1303" spans="1:27" s="349" customFormat="1">
      <c r="B1303" s="347"/>
      <c r="C1303" s="347"/>
      <c r="D1303" s="354"/>
      <c r="M1303" s="355"/>
      <c r="N1303" s="347"/>
      <c r="O1303" s="356"/>
      <c r="P1303" s="357"/>
      <c r="Q1303" s="357"/>
      <c r="R1303" s="359"/>
      <c r="S1303" s="358"/>
      <c r="T1303" s="348"/>
      <c r="U1303" s="348"/>
      <c r="V1303" s="347"/>
      <c r="W1303" s="348"/>
      <c r="Y1303" s="350"/>
      <c r="AA1303" s="347"/>
    </row>
    <row r="1304" spans="1:27" s="349" customFormat="1">
      <c r="B1304" s="347"/>
      <c r="C1304" s="347"/>
      <c r="D1304" s="354"/>
      <c r="M1304" s="355"/>
      <c r="N1304" s="347"/>
      <c r="O1304" s="356"/>
      <c r="P1304" s="357"/>
      <c r="Q1304" s="357"/>
      <c r="R1304" s="359"/>
      <c r="S1304" s="358"/>
      <c r="T1304" s="348"/>
      <c r="U1304" s="348"/>
      <c r="V1304" s="347"/>
      <c r="W1304" s="348"/>
      <c r="Y1304" s="350"/>
      <c r="AA1304" s="347"/>
    </row>
    <row r="1305" spans="1:27" s="349" customFormat="1">
      <c r="B1305" s="347"/>
      <c r="C1305" s="347"/>
      <c r="D1305" s="354"/>
      <c r="M1305" s="355"/>
      <c r="N1305" s="347"/>
      <c r="O1305" s="356"/>
      <c r="P1305" s="357"/>
      <c r="Q1305" s="357"/>
      <c r="R1305" s="359"/>
      <c r="S1305" s="358"/>
      <c r="T1305" s="348"/>
      <c r="U1305" s="348"/>
      <c r="V1305" s="347"/>
      <c r="W1305" s="348"/>
      <c r="Y1305" s="350"/>
      <c r="AA1305" s="347"/>
    </row>
    <row r="1306" spans="1:27" s="349" customFormat="1">
      <c r="B1306" s="347"/>
      <c r="C1306" s="347"/>
      <c r="D1306" s="354"/>
      <c r="M1306" s="355"/>
      <c r="N1306" s="347"/>
      <c r="O1306" s="356"/>
      <c r="P1306" s="357"/>
      <c r="Q1306" s="357"/>
      <c r="R1306" s="359"/>
      <c r="S1306" s="358"/>
      <c r="T1306" s="348"/>
      <c r="U1306" s="348"/>
      <c r="V1306" s="347"/>
      <c r="W1306" s="348"/>
      <c r="Y1306" s="350"/>
      <c r="AA1306" s="347"/>
    </row>
    <row r="1307" spans="1:27" s="349" customFormat="1">
      <c r="B1307" s="347"/>
      <c r="C1307" s="347"/>
      <c r="D1307" s="354"/>
      <c r="M1307" s="355"/>
      <c r="N1307" s="347"/>
      <c r="O1307" s="356"/>
      <c r="P1307" s="357"/>
      <c r="Q1307" s="357"/>
      <c r="R1307" s="359"/>
      <c r="S1307" s="358"/>
      <c r="T1307" s="348"/>
      <c r="U1307" s="348"/>
      <c r="V1307" s="347"/>
      <c r="W1307" s="348"/>
      <c r="Y1307" s="350"/>
      <c r="AA1307" s="347"/>
    </row>
    <row r="1308" spans="1:27" s="349" customFormat="1">
      <c r="B1308" s="347"/>
      <c r="C1308" s="347"/>
      <c r="D1308" s="354"/>
      <c r="M1308" s="355"/>
      <c r="N1308" s="347"/>
      <c r="O1308" s="356"/>
      <c r="P1308" s="357"/>
      <c r="Q1308" s="357"/>
      <c r="R1308" s="359"/>
      <c r="S1308" s="358"/>
      <c r="T1308" s="348"/>
      <c r="U1308" s="348"/>
      <c r="V1308" s="347"/>
      <c r="W1308" s="348"/>
      <c r="Y1308" s="350"/>
      <c r="AA1308" s="347"/>
    </row>
    <row r="1309" spans="1:27" s="349" customFormat="1">
      <c r="B1309" s="347"/>
      <c r="C1309" s="347"/>
      <c r="D1309" s="354"/>
      <c r="M1309" s="355"/>
      <c r="N1309" s="347"/>
      <c r="O1309" s="356"/>
      <c r="P1309" s="357"/>
      <c r="Q1309" s="357"/>
      <c r="R1309" s="359"/>
      <c r="S1309" s="358"/>
      <c r="T1309" s="348"/>
      <c r="U1309" s="348"/>
      <c r="V1309" s="347"/>
      <c r="W1309" s="348"/>
      <c r="Y1309" s="350"/>
      <c r="AA1309" s="347"/>
    </row>
    <row r="1310" spans="1:27" s="360" customFormat="1">
      <c r="B1310" s="241"/>
      <c r="C1310" s="241"/>
      <c r="D1310" s="361"/>
      <c r="E1310" s="362"/>
      <c r="F1310" s="362"/>
      <c r="G1310" s="362"/>
      <c r="H1310" s="362"/>
      <c r="I1310" s="362"/>
      <c r="J1310" s="362"/>
      <c r="K1310" s="362"/>
      <c r="L1310" s="362"/>
      <c r="M1310" s="363"/>
      <c r="N1310" s="364"/>
      <c r="O1310" s="356"/>
      <c r="P1310" s="357"/>
      <c r="Q1310" s="357"/>
      <c r="R1310" s="359"/>
      <c r="S1310" s="365"/>
      <c r="T1310" s="267"/>
      <c r="U1310" s="267"/>
      <c r="V1310" s="241"/>
      <c r="W1310" s="267"/>
      <c r="Y1310" s="268"/>
      <c r="AA1310" s="241"/>
    </row>
    <row r="1311" spans="1:27" s="360" customFormat="1">
      <c r="B1311" s="241"/>
      <c r="C1311" s="241"/>
      <c r="D1311" s="361"/>
      <c r="E1311" s="362"/>
      <c r="F1311" s="362"/>
      <c r="G1311" s="362"/>
      <c r="H1311" s="362"/>
      <c r="I1311" s="362"/>
      <c r="J1311" s="362"/>
      <c r="K1311" s="362"/>
      <c r="L1311" s="362"/>
      <c r="M1311" s="363"/>
      <c r="N1311" s="364"/>
      <c r="O1311" s="366"/>
      <c r="P1311" s="366"/>
      <c r="Q1311" s="357"/>
      <c r="R1311" s="359"/>
      <c r="S1311" s="365"/>
      <c r="T1311" s="267"/>
      <c r="U1311" s="267"/>
      <c r="V1311" s="241"/>
      <c r="W1311" s="267"/>
      <c r="Y1311" s="268"/>
      <c r="AA1311" s="241"/>
    </row>
    <row r="1312" spans="1:27" s="360" customFormat="1">
      <c r="B1312" s="241"/>
      <c r="C1312" s="241"/>
      <c r="D1312" s="361"/>
      <c r="E1312" s="362"/>
      <c r="F1312" s="362"/>
      <c r="G1312" s="362"/>
      <c r="H1312" s="362"/>
      <c r="I1312" s="362"/>
      <c r="J1312" s="362"/>
      <c r="K1312" s="362"/>
      <c r="L1312" s="362"/>
      <c r="M1312" s="363"/>
      <c r="N1312" s="364"/>
      <c r="O1312" s="367"/>
      <c r="Q1312" s="366"/>
      <c r="R1312" s="366"/>
      <c r="S1312" s="365"/>
      <c r="T1312" s="267"/>
      <c r="U1312" s="267"/>
      <c r="V1312" s="241"/>
      <c r="W1312" s="267"/>
      <c r="Y1312" s="268"/>
      <c r="AA1312" s="241"/>
    </row>
    <row r="1313" spans="17:18">
      <c r="Q1313" s="360"/>
      <c r="R1313" s="267"/>
    </row>
  </sheetData>
  <autoFilter ref="D7:D536"/>
  <mergeCells count="3">
    <mergeCell ref="J588:K588"/>
    <mergeCell ref="A1:S1"/>
    <mergeCell ref="A2:S2"/>
  </mergeCells>
  <phoneticPr fontId="0" type="noConversion"/>
  <pageMargins left="0.31496062992125984" right="0.11811023622047245" top="0.35433070866141736" bottom="0.15748031496062992" header="0" footer="0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195"/>
  <sheetViews>
    <sheetView topLeftCell="T19" workbookViewId="0">
      <selection activeCell="T1" sqref="T1"/>
    </sheetView>
  </sheetViews>
  <sheetFormatPr defaultRowHeight="18.75"/>
  <cols>
    <col min="1" max="1" width="5.42578125" style="97" customWidth="1"/>
    <col min="2" max="2" width="14.85546875" style="215" customWidth="1"/>
    <col min="3" max="3" width="6" style="215" customWidth="1"/>
    <col min="4" max="4" width="17.7109375" style="216" customWidth="1"/>
    <col min="5" max="5" width="5.7109375" style="217" hidden="1" customWidth="1"/>
    <col min="6" max="6" width="5" style="217" hidden="1" customWidth="1"/>
    <col min="7" max="7" width="6.7109375" style="217" hidden="1" customWidth="1"/>
    <col min="8" max="9" width="10.85546875" style="217" hidden="1" customWidth="1"/>
    <col min="10" max="10" width="13" style="217" customWidth="1"/>
    <col min="11" max="11" width="13.140625" style="217" hidden="1" customWidth="1"/>
    <col min="12" max="12" width="6.85546875" style="217" hidden="1" customWidth="1"/>
    <col min="13" max="13" width="9.85546875" style="218" hidden="1" customWidth="1"/>
    <col min="14" max="14" width="10.85546875" style="219" hidden="1" customWidth="1"/>
    <col min="15" max="15" width="17.28515625" style="220" hidden="1" customWidth="1"/>
    <col min="16" max="16" width="14" style="97" customWidth="1"/>
    <col min="17" max="17" width="20.28515625" style="97" customWidth="1"/>
    <col min="18" max="18" width="23.85546875" style="165" customWidth="1"/>
    <col min="19" max="19" width="9.140625" style="132"/>
    <col min="20" max="20" width="19.85546875" style="201" customWidth="1"/>
    <col min="21" max="21" width="14.140625" style="201" customWidth="1"/>
    <col min="22" max="22" width="18.5703125" style="95" hidden="1" customWidth="1"/>
    <col min="23" max="23" width="9" style="96" customWidth="1"/>
    <col min="24" max="24" width="12.140625" style="223" bestFit="1" customWidth="1"/>
    <col min="25" max="25" width="9.140625" style="98"/>
    <col min="26" max="26" width="9.140625" style="97"/>
    <col min="27" max="27" width="12" style="99" customWidth="1"/>
    <col min="28" max="16384" width="9.140625" style="97"/>
  </cols>
  <sheetData>
    <row r="1" spans="1:33" ht="21">
      <c r="A1" s="421"/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193"/>
      <c r="U1" s="193"/>
      <c r="V1" s="193"/>
      <c r="W1" s="193"/>
      <c r="X1" s="139"/>
      <c r="Y1" s="193"/>
    </row>
    <row r="2" spans="1:33" ht="37.15" customHeight="1">
      <c r="A2" s="423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194"/>
      <c r="U2" s="194"/>
      <c r="V2" s="194"/>
      <c r="W2" s="194"/>
      <c r="X2" s="139"/>
      <c r="Y2" s="194"/>
    </row>
    <row r="3" spans="1:33" ht="37.15" customHeight="1">
      <c r="A3" s="194"/>
      <c r="B3" s="194"/>
      <c r="C3" s="194"/>
      <c r="D3" s="192"/>
      <c r="E3" s="226"/>
      <c r="F3" s="226"/>
      <c r="G3" s="226"/>
      <c r="H3" s="226"/>
      <c r="I3" s="226"/>
      <c r="J3" s="226"/>
      <c r="K3" s="226"/>
      <c r="L3" s="226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39"/>
      <c r="Y3" s="194"/>
    </row>
    <row r="4" spans="1:33" ht="27" customHeight="1">
      <c r="A4" s="139"/>
      <c r="B4" s="139"/>
      <c r="C4" s="139"/>
      <c r="D4" s="182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95"/>
      <c r="T4" s="195"/>
      <c r="U4" s="195"/>
      <c r="V4" s="195"/>
      <c r="W4" s="196"/>
      <c r="X4" s="197"/>
      <c r="Y4" s="197"/>
    </row>
    <row r="5" spans="1:33" s="198" customFormat="1" ht="87" customHeight="1">
      <c r="A5" s="374"/>
      <c r="B5" s="374"/>
      <c r="C5" s="374"/>
      <c r="D5" s="375"/>
      <c r="E5" s="374"/>
      <c r="F5" s="374"/>
      <c r="G5" s="374"/>
      <c r="H5" s="374"/>
      <c r="I5" s="94"/>
      <c r="J5" s="94"/>
      <c r="K5" s="129"/>
      <c r="L5" s="129"/>
      <c r="M5" s="376"/>
      <c r="N5" s="376"/>
      <c r="O5" s="377"/>
      <c r="P5" s="377"/>
      <c r="Q5" s="377"/>
      <c r="R5" s="378"/>
      <c r="S5" s="378"/>
      <c r="V5" s="199"/>
      <c r="W5" s="200"/>
      <c r="X5" s="224"/>
      <c r="Y5" s="226"/>
      <c r="AA5" s="146"/>
    </row>
    <row r="6" spans="1:33">
      <c r="A6" s="374"/>
      <c r="B6" s="374"/>
      <c r="C6" s="374"/>
      <c r="D6" s="375"/>
      <c r="E6" s="374"/>
      <c r="F6" s="374"/>
      <c r="G6" s="374"/>
      <c r="H6" s="374"/>
      <c r="I6" s="201"/>
      <c r="J6" s="201"/>
      <c r="K6" s="129"/>
      <c r="L6" s="129"/>
      <c r="M6" s="376"/>
      <c r="N6" s="376"/>
      <c r="O6" s="377"/>
      <c r="P6" s="377"/>
      <c r="Q6" s="377"/>
      <c r="R6" s="378"/>
      <c r="S6" s="378"/>
    </row>
    <row r="7" spans="1:33">
      <c r="A7" s="374"/>
      <c r="B7" s="374"/>
      <c r="C7" s="374"/>
      <c r="D7" s="375"/>
      <c r="E7" s="374"/>
      <c r="F7" s="374"/>
      <c r="G7" s="374"/>
      <c r="H7" s="374"/>
      <c r="I7" s="201"/>
      <c r="J7" s="201"/>
      <c r="K7" s="129"/>
      <c r="L7" s="129"/>
      <c r="M7" s="376"/>
      <c r="N7" s="376"/>
      <c r="O7" s="377"/>
      <c r="P7" s="377"/>
      <c r="Q7" s="377"/>
      <c r="R7" s="378"/>
      <c r="S7" s="378"/>
    </row>
    <row r="8" spans="1:33">
      <c r="A8" s="379"/>
      <c r="B8" s="379"/>
      <c r="C8" s="379"/>
      <c r="D8" s="380"/>
      <c r="E8" s="379"/>
      <c r="F8" s="379"/>
      <c r="G8" s="379"/>
      <c r="H8" s="379"/>
      <c r="I8" s="381"/>
      <c r="J8" s="381"/>
      <c r="K8" s="382"/>
      <c r="L8" s="382"/>
      <c r="M8" s="383"/>
      <c r="N8" s="383"/>
      <c r="O8" s="379"/>
      <c r="P8" s="379"/>
      <c r="Q8" s="379"/>
      <c r="R8" s="382"/>
      <c r="S8" s="382"/>
      <c r="T8" s="131"/>
      <c r="X8" s="384"/>
    </row>
    <row r="9" spans="1:33" ht="19.5" customHeight="1">
      <c r="A9" s="129"/>
      <c r="B9" s="94"/>
      <c r="C9" s="94"/>
      <c r="D9" s="184"/>
      <c r="E9" s="94"/>
      <c r="F9" s="94"/>
      <c r="G9" s="385"/>
      <c r="H9" s="386"/>
      <c r="I9" s="387"/>
      <c r="J9" s="201"/>
      <c r="K9" s="386"/>
      <c r="L9" s="201"/>
      <c r="M9" s="388"/>
      <c r="N9" s="37"/>
      <c r="O9" s="389"/>
      <c r="P9" s="94"/>
      <c r="Q9" s="131"/>
      <c r="T9" s="131"/>
      <c r="U9" s="131"/>
      <c r="X9" s="390"/>
    </row>
    <row r="10" spans="1:33" ht="19.5" customHeight="1">
      <c r="A10" s="129"/>
      <c r="B10" s="94"/>
      <c r="C10" s="94"/>
      <c r="D10" s="184"/>
      <c r="E10" s="94"/>
      <c r="F10" s="94"/>
      <c r="G10" s="385"/>
      <c r="H10" s="386"/>
      <c r="I10" s="387"/>
      <c r="J10" s="201"/>
      <c r="K10" s="386"/>
      <c r="L10" s="201"/>
      <c r="M10" s="388"/>
      <c r="N10" s="37"/>
      <c r="O10" s="389"/>
      <c r="P10" s="94"/>
      <c r="Q10" s="131"/>
      <c r="T10" s="131"/>
      <c r="U10" s="131"/>
      <c r="X10" s="390"/>
      <c r="Y10" s="96"/>
      <c r="Z10" s="96"/>
      <c r="AA10" s="96"/>
      <c r="AB10" s="96"/>
      <c r="AC10" s="96"/>
      <c r="AD10" s="96"/>
      <c r="AE10" s="96"/>
    </row>
    <row r="11" spans="1:33" ht="19.5" customHeight="1">
      <c r="A11" s="129"/>
      <c r="B11" s="94"/>
      <c r="C11" s="94"/>
      <c r="D11" s="184"/>
      <c r="E11" s="94"/>
      <c r="F11" s="94"/>
      <c r="G11" s="385"/>
      <c r="H11" s="386"/>
      <c r="I11" s="387"/>
      <c r="J11" s="201"/>
      <c r="K11" s="386"/>
      <c r="L11" s="201"/>
      <c r="M11" s="388"/>
      <c r="N11" s="37"/>
      <c r="O11" s="389"/>
      <c r="P11" s="94"/>
      <c r="Q11" s="131"/>
      <c r="T11" s="131"/>
      <c r="U11" s="131"/>
      <c r="X11" s="390"/>
      <c r="Y11" s="96"/>
      <c r="Z11" s="96"/>
      <c r="AA11" s="96"/>
      <c r="AB11" s="96"/>
      <c r="AC11" s="96"/>
      <c r="AD11" s="96"/>
      <c r="AE11" s="96"/>
      <c r="AF11" s="96"/>
      <c r="AG11" s="96"/>
    </row>
    <row r="12" spans="1:33" ht="19.5" customHeight="1">
      <c r="A12" s="129"/>
      <c r="B12" s="94"/>
      <c r="C12" s="94"/>
      <c r="D12" s="184"/>
      <c r="E12" s="94"/>
      <c r="F12" s="94"/>
      <c r="G12" s="385"/>
      <c r="H12" s="386"/>
      <c r="I12" s="387"/>
      <c r="J12" s="201"/>
      <c r="K12" s="386"/>
      <c r="L12" s="201"/>
      <c r="M12" s="388"/>
      <c r="N12" s="37"/>
      <c r="O12" s="389"/>
      <c r="P12" s="94"/>
      <c r="Q12" s="131"/>
      <c r="T12" s="131"/>
      <c r="U12" s="131"/>
      <c r="X12" s="390"/>
      <c r="Y12" s="96"/>
      <c r="Z12" s="96"/>
      <c r="AA12" s="96"/>
      <c r="AB12" s="96"/>
      <c r="AC12" s="96"/>
      <c r="AD12" s="96"/>
      <c r="AE12" s="96"/>
    </row>
    <row r="13" spans="1:33" ht="19.5" customHeight="1">
      <c r="A13" s="129"/>
      <c r="B13" s="94"/>
      <c r="C13" s="94"/>
      <c r="D13" s="184"/>
      <c r="E13" s="94"/>
      <c r="F13" s="94"/>
      <c r="G13" s="385"/>
      <c r="H13" s="386"/>
      <c r="I13" s="387"/>
      <c r="J13" s="201"/>
      <c r="K13" s="386"/>
      <c r="L13" s="201"/>
      <c r="M13" s="388"/>
      <c r="N13" s="37"/>
      <c r="O13" s="389"/>
      <c r="P13" s="94"/>
      <c r="Q13" s="131"/>
      <c r="T13" s="131"/>
      <c r="U13" s="131"/>
      <c r="X13" s="390"/>
      <c r="Y13" s="96"/>
      <c r="Z13" s="96"/>
      <c r="AA13" s="96"/>
      <c r="AB13" s="96"/>
      <c r="AC13" s="96"/>
      <c r="AD13" s="96"/>
      <c r="AE13" s="96"/>
    </row>
    <row r="14" spans="1:33" ht="19.5" customHeight="1">
      <c r="A14" s="129"/>
      <c r="B14" s="94"/>
      <c r="C14" s="94"/>
      <c r="D14" s="184"/>
      <c r="E14" s="94"/>
      <c r="F14" s="94"/>
      <c r="G14" s="385"/>
      <c r="H14" s="386"/>
      <c r="I14" s="387"/>
      <c r="J14" s="201"/>
      <c r="K14" s="386"/>
      <c r="L14" s="201"/>
      <c r="M14" s="388"/>
      <c r="N14" s="37"/>
      <c r="O14" s="389"/>
      <c r="P14" s="94"/>
      <c r="Q14" s="131"/>
      <c r="T14" s="131"/>
      <c r="U14" s="131"/>
      <c r="X14" s="390"/>
      <c r="Y14" s="96"/>
      <c r="Z14" s="96"/>
      <c r="AA14" s="96"/>
      <c r="AB14" s="96"/>
      <c r="AC14" s="96"/>
      <c r="AD14" s="96"/>
      <c r="AE14" s="96"/>
    </row>
    <row r="15" spans="1:33" ht="19.5" customHeight="1">
      <c r="A15" s="129"/>
      <c r="B15" s="94"/>
      <c r="C15" s="94"/>
      <c r="D15" s="184"/>
      <c r="E15" s="94"/>
      <c r="F15" s="94"/>
      <c r="G15" s="385"/>
      <c r="H15" s="386"/>
      <c r="I15" s="387"/>
      <c r="J15" s="201"/>
      <c r="K15" s="386"/>
      <c r="L15" s="201"/>
      <c r="M15" s="388"/>
      <c r="N15" s="37"/>
      <c r="O15" s="389"/>
      <c r="P15" s="94"/>
      <c r="Q15" s="131"/>
      <c r="T15" s="131"/>
      <c r="U15" s="131"/>
      <c r="X15" s="390"/>
      <c r="Y15" s="96"/>
      <c r="Z15" s="96"/>
      <c r="AA15" s="96"/>
      <c r="AB15" s="96"/>
      <c r="AC15" s="96"/>
      <c r="AD15" s="96"/>
      <c r="AE15" s="96"/>
    </row>
    <row r="16" spans="1:33" ht="19.5" customHeight="1">
      <c r="A16" s="129"/>
      <c r="B16" s="94"/>
      <c r="C16" s="94"/>
      <c r="D16" s="184"/>
      <c r="E16" s="94"/>
      <c r="F16" s="94"/>
      <c r="G16" s="385"/>
      <c r="H16" s="386"/>
      <c r="I16" s="387"/>
      <c r="J16" s="201"/>
      <c r="K16" s="386"/>
      <c r="L16" s="201"/>
      <c r="M16" s="388"/>
      <c r="N16" s="37"/>
      <c r="O16" s="389"/>
      <c r="P16" s="94"/>
      <c r="Q16" s="131"/>
      <c r="T16" s="131"/>
      <c r="U16" s="131"/>
      <c r="X16" s="390"/>
      <c r="Y16" s="96"/>
      <c r="Z16" s="96"/>
      <c r="AA16" s="96"/>
      <c r="AB16" s="96"/>
      <c r="AC16" s="96"/>
      <c r="AD16" s="96"/>
      <c r="AE16" s="96"/>
    </row>
    <row r="17" spans="1:31" ht="19.5" customHeight="1">
      <c r="A17" s="129"/>
      <c r="B17" s="94"/>
      <c r="C17" s="94"/>
      <c r="D17" s="184"/>
      <c r="E17" s="94"/>
      <c r="F17" s="94"/>
      <c r="G17" s="385"/>
      <c r="H17" s="386"/>
      <c r="I17" s="387"/>
      <c r="J17" s="201"/>
      <c r="K17" s="386"/>
      <c r="L17" s="201"/>
      <c r="M17" s="388"/>
      <c r="N17" s="37"/>
      <c r="O17" s="389"/>
      <c r="P17" s="94"/>
      <c r="Q17" s="131"/>
      <c r="T17" s="131"/>
      <c r="U17" s="131"/>
      <c r="X17" s="96"/>
      <c r="Y17" s="96"/>
      <c r="Z17" s="96"/>
      <c r="AA17" s="96"/>
      <c r="AB17" s="96"/>
      <c r="AC17" s="96"/>
      <c r="AD17" s="96"/>
      <c r="AE17" s="96"/>
    </row>
    <row r="18" spans="1:31" ht="19.5" customHeight="1">
      <c r="A18" s="129"/>
      <c r="B18" s="94"/>
      <c r="C18" s="94"/>
      <c r="D18" s="184"/>
      <c r="E18" s="94"/>
      <c r="F18" s="94"/>
      <c r="G18" s="385"/>
      <c r="H18" s="386"/>
      <c r="I18" s="387"/>
      <c r="J18" s="201"/>
      <c r="K18" s="386"/>
      <c r="L18" s="201"/>
      <c r="M18" s="388"/>
      <c r="N18" s="37"/>
      <c r="O18" s="389"/>
      <c r="P18" s="94"/>
      <c r="Q18" s="131"/>
      <c r="T18" s="131"/>
      <c r="U18" s="131"/>
      <c r="X18" s="96"/>
      <c r="Y18" s="96"/>
      <c r="Z18" s="96"/>
      <c r="AA18" s="96"/>
      <c r="AB18" s="96"/>
      <c r="AC18" s="96"/>
      <c r="AD18" s="96"/>
      <c r="AE18" s="96"/>
    </row>
    <row r="19" spans="1:31" s="96" customFormat="1" ht="19.5" customHeight="1">
      <c r="A19" s="129"/>
      <c r="B19" s="94"/>
      <c r="C19" s="94"/>
      <c r="D19" s="184"/>
      <c r="E19" s="94"/>
      <c r="F19" s="94"/>
      <c r="G19" s="385"/>
      <c r="H19" s="386"/>
      <c r="I19" s="387"/>
      <c r="J19" s="201"/>
      <c r="K19" s="386"/>
      <c r="L19" s="201"/>
      <c r="M19" s="388"/>
      <c r="N19" s="37"/>
      <c r="O19" s="389"/>
      <c r="P19" s="94"/>
      <c r="Q19" s="131"/>
      <c r="S19" s="132"/>
      <c r="T19" s="131"/>
      <c r="U19" s="131"/>
      <c r="V19" s="95"/>
    </row>
    <row r="20" spans="1:31" s="96" customFormat="1" ht="19.5" customHeight="1">
      <c r="A20" s="129"/>
      <c r="B20" s="94"/>
      <c r="C20" s="94"/>
      <c r="D20" s="184"/>
      <c r="E20" s="94"/>
      <c r="F20" s="94"/>
      <c r="G20" s="385"/>
      <c r="H20" s="386"/>
      <c r="I20" s="387"/>
      <c r="J20" s="201"/>
      <c r="K20" s="386"/>
      <c r="L20" s="201"/>
      <c r="M20" s="388"/>
      <c r="N20" s="37"/>
      <c r="O20" s="389"/>
      <c r="P20" s="94"/>
      <c r="Q20" s="131"/>
      <c r="S20" s="132"/>
      <c r="T20" s="131"/>
      <c r="U20" s="131"/>
      <c r="V20" s="95"/>
    </row>
    <row r="21" spans="1:31" s="96" customFormat="1" ht="19.5" customHeight="1">
      <c r="A21" s="129"/>
      <c r="B21" s="94"/>
      <c r="C21" s="94"/>
      <c r="D21" s="184"/>
      <c r="E21" s="94"/>
      <c r="F21" s="94"/>
      <c r="G21" s="385"/>
      <c r="H21" s="386"/>
      <c r="I21" s="387"/>
      <c r="J21" s="201"/>
      <c r="K21" s="386"/>
      <c r="L21" s="201"/>
      <c r="M21" s="388"/>
      <c r="N21" s="37"/>
      <c r="O21" s="389"/>
      <c r="P21" s="94"/>
      <c r="Q21" s="131"/>
      <c r="S21" s="132"/>
      <c r="T21" s="201"/>
      <c r="U21" s="201"/>
      <c r="V21" s="95"/>
      <c r="X21" s="391"/>
    </row>
    <row r="22" spans="1:31" s="96" customFormat="1">
      <c r="A22" s="129"/>
      <c r="B22" s="94"/>
      <c r="C22" s="94"/>
      <c r="D22" s="184"/>
      <c r="E22" s="94"/>
      <c r="F22" s="94"/>
      <c r="G22" s="385"/>
      <c r="H22" s="386"/>
      <c r="I22" s="387"/>
      <c r="J22" s="201"/>
      <c r="K22" s="386"/>
      <c r="L22" s="201"/>
      <c r="M22" s="388"/>
      <c r="N22" s="37"/>
      <c r="O22" s="389"/>
      <c r="P22" s="94"/>
      <c r="Q22" s="131"/>
      <c r="S22" s="132"/>
      <c r="T22" s="201"/>
      <c r="U22" s="201"/>
      <c r="V22" s="95"/>
      <c r="X22" s="223"/>
      <c r="Y22" s="98"/>
      <c r="Z22" s="97"/>
      <c r="AA22" s="99"/>
    </row>
    <row r="23" spans="1:31" s="96" customFormat="1" hidden="1">
      <c r="A23" s="129"/>
      <c r="B23" s="94"/>
      <c r="C23" s="94"/>
      <c r="D23" s="184"/>
      <c r="E23" s="94"/>
      <c r="F23" s="94"/>
      <c r="G23" s="385"/>
      <c r="H23" s="386"/>
      <c r="I23" s="387"/>
      <c r="J23" s="201"/>
      <c r="K23" s="386"/>
      <c r="L23" s="201"/>
      <c r="M23" s="388"/>
      <c r="N23" s="37"/>
      <c r="O23" s="389"/>
      <c r="P23" s="94"/>
      <c r="Q23" s="131"/>
      <c r="R23" s="165"/>
      <c r="S23" s="132"/>
      <c r="T23" s="201"/>
      <c r="U23" s="201"/>
      <c r="V23" s="95"/>
      <c r="X23" s="223"/>
      <c r="Y23" s="98"/>
      <c r="Z23" s="97"/>
      <c r="AA23" s="99"/>
    </row>
    <row r="24" spans="1:31" s="96" customFormat="1" hidden="1">
      <c r="A24" s="129"/>
      <c r="B24" s="94"/>
      <c r="C24" s="94"/>
      <c r="D24" s="184"/>
      <c r="E24" s="94"/>
      <c r="F24" s="94"/>
      <c r="G24" s="385"/>
      <c r="H24" s="386"/>
      <c r="I24" s="387"/>
      <c r="J24" s="201"/>
      <c r="K24" s="386"/>
      <c r="L24" s="201"/>
      <c r="M24" s="388"/>
      <c r="N24" s="37"/>
      <c r="O24" s="389"/>
      <c r="P24" s="94"/>
      <c r="Q24" s="131"/>
      <c r="R24" s="165"/>
      <c r="S24" s="132"/>
      <c r="T24" s="201"/>
      <c r="U24" s="201"/>
      <c r="V24" s="95"/>
      <c r="X24" s="223"/>
      <c r="Y24" s="98"/>
      <c r="Z24" s="97"/>
      <c r="AA24" s="99"/>
    </row>
    <row r="25" spans="1:31" s="96" customFormat="1" hidden="1">
      <c r="A25" s="129"/>
      <c r="B25" s="94"/>
      <c r="C25" s="94"/>
      <c r="D25" s="184"/>
      <c r="E25" s="94"/>
      <c r="F25" s="94"/>
      <c r="G25" s="385"/>
      <c r="H25" s="386"/>
      <c r="I25" s="387"/>
      <c r="J25" s="201"/>
      <c r="K25" s="386"/>
      <c r="L25" s="201"/>
      <c r="M25" s="388"/>
      <c r="N25" s="37"/>
      <c r="O25" s="389"/>
      <c r="P25" s="94"/>
      <c r="Q25" s="131"/>
      <c r="R25" s="165"/>
      <c r="S25" s="132"/>
      <c r="T25" s="201"/>
      <c r="U25" s="201"/>
      <c r="V25" s="95"/>
      <c r="X25" s="223"/>
      <c r="Y25" s="98"/>
      <c r="Z25" s="97"/>
      <c r="AA25" s="99"/>
    </row>
    <row r="26" spans="1:31" s="96" customFormat="1" hidden="1">
      <c r="A26" s="129"/>
      <c r="B26" s="94"/>
      <c r="C26" s="94"/>
      <c r="D26" s="184"/>
      <c r="E26" s="94"/>
      <c r="F26" s="94"/>
      <c r="G26" s="385"/>
      <c r="H26" s="386"/>
      <c r="I26" s="387"/>
      <c r="J26" s="201"/>
      <c r="K26" s="386"/>
      <c r="L26" s="201"/>
      <c r="M26" s="388"/>
      <c r="N26" s="37"/>
      <c r="O26" s="389"/>
      <c r="P26" s="94"/>
      <c r="Q26" s="131"/>
      <c r="R26" s="165"/>
      <c r="S26" s="132"/>
      <c r="T26" s="201"/>
      <c r="U26" s="201"/>
      <c r="V26" s="95"/>
      <c r="X26" s="223"/>
      <c r="Y26" s="98"/>
      <c r="Z26" s="97"/>
      <c r="AA26" s="99"/>
    </row>
    <row r="27" spans="1:31" s="96" customFormat="1" hidden="1">
      <c r="A27" s="129"/>
      <c r="B27" s="94"/>
      <c r="C27" s="94"/>
      <c r="D27" s="184"/>
      <c r="E27" s="94"/>
      <c r="F27" s="94"/>
      <c r="G27" s="385"/>
      <c r="H27" s="386"/>
      <c r="I27" s="387"/>
      <c r="J27" s="201"/>
      <c r="K27" s="386"/>
      <c r="L27" s="201"/>
      <c r="M27" s="388"/>
      <c r="N27" s="37"/>
      <c r="O27" s="389"/>
      <c r="P27" s="94"/>
      <c r="Q27" s="131"/>
      <c r="R27" s="165"/>
      <c r="S27" s="132"/>
      <c r="T27" s="201"/>
      <c r="U27" s="201"/>
      <c r="V27" s="95"/>
      <c r="X27" s="223"/>
      <c r="Y27" s="98"/>
      <c r="Z27" s="97"/>
      <c r="AA27" s="99"/>
    </row>
    <row r="28" spans="1:31" s="96" customFormat="1" hidden="1">
      <c r="A28" s="129"/>
      <c r="B28" s="94"/>
      <c r="C28" s="94"/>
      <c r="D28" s="184"/>
      <c r="E28" s="94"/>
      <c r="F28" s="94"/>
      <c r="G28" s="385"/>
      <c r="H28" s="386"/>
      <c r="I28" s="387"/>
      <c r="J28" s="201"/>
      <c r="K28" s="386"/>
      <c r="L28" s="201"/>
      <c r="M28" s="388"/>
      <c r="N28" s="37"/>
      <c r="O28" s="389"/>
      <c r="P28" s="94"/>
      <c r="Q28" s="131"/>
      <c r="R28" s="165"/>
      <c r="S28" s="132"/>
      <c r="T28" s="201"/>
      <c r="U28" s="201"/>
      <c r="V28" s="95"/>
      <c r="X28" s="223"/>
      <c r="Y28" s="98"/>
      <c r="Z28" s="97"/>
      <c r="AA28" s="99"/>
    </row>
    <row r="29" spans="1:31" s="96" customFormat="1" hidden="1">
      <c r="A29" s="129"/>
      <c r="B29" s="94"/>
      <c r="C29" s="94"/>
      <c r="D29" s="184"/>
      <c r="E29" s="94"/>
      <c r="F29" s="94"/>
      <c r="G29" s="385"/>
      <c r="H29" s="386"/>
      <c r="I29" s="387"/>
      <c r="J29" s="201"/>
      <c r="K29" s="386"/>
      <c r="L29" s="201"/>
      <c r="M29" s="388"/>
      <c r="N29" s="37"/>
      <c r="O29" s="389"/>
      <c r="P29" s="94"/>
      <c r="Q29" s="131"/>
      <c r="R29" s="165"/>
      <c r="S29" s="132"/>
      <c r="T29" s="201"/>
      <c r="U29" s="201"/>
      <c r="V29" s="95"/>
      <c r="X29" s="223"/>
      <c r="Y29" s="98"/>
      <c r="Z29" s="97"/>
      <c r="AA29" s="99"/>
    </row>
    <row r="30" spans="1:31" s="96" customFormat="1" hidden="1">
      <c r="A30" s="129"/>
      <c r="B30" s="94"/>
      <c r="C30" s="94"/>
      <c r="D30" s="184"/>
      <c r="E30" s="94"/>
      <c r="F30" s="94"/>
      <c r="G30" s="385"/>
      <c r="H30" s="386"/>
      <c r="I30" s="387"/>
      <c r="J30" s="201"/>
      <c r="K30" s="386"/>
      <c r="L30" s="201"/>
      <c r="M30" s="388"/>
      <c r="N30" s="37"/>
      <c r="O30" s="389"/>
      <c r="P30" s="94"/>
      <c r="Q30" s="131"/>
      <c r="R30" s="165"/>
      <c r="S30" s="132"/>
      <c r="T30" s="201"/>
      <c r="U30" s="201"/>
      <c r="V30" s="95"/>
      <c r="X30" s="223"/>
      <c r="Y30" s="98"/>
      <c r="Z30" s="97"/>
      <c r="AA30" s="99"/>
    </row>
    <row r="31" spans="1:31" s="96" customFormat="1">
      <c r="A31" s="129"/>
      <c r="B31" s="94"/>
      <c r="C31" s="94"/>
      <c r="D31" s="184"/>
      <c r="E31" s="94"/>
      <c r="F31" s="94"/>
      <c r="G31" s="385"/>
      <c r="H31" s="386"/>
      <c r="I31" s="387"/>
      <c r="J31" s="201"/>
      <c r="K31" s="386"/>
      <c r="L31" s="201"/>
      <c r="M31" s="388"/>
      <c r="N31" s="37"/>
      <c r="O31" s="389"/>
      <c r="P31" s="94"/>
      <c r="Q31" s="131"/>
      <c r="R31" s="165"/>
      <c r="S31" s="132"/>
      <c r="T31" s="201"/>
      <c r="U31" s="201"/>
      <c r="V31" s="95"/>
      <c r="X31" s="223"/>
      <c r="Y31" s="98"/>
      <c r="Z31" s="97"/>
      <c r="AA31" s="99"/>
    </row>
    <row r="32" spans="1:31" s="96" customFormat="1">
      <c r="A32" s="129"/>
      <c r="B32" s="94"/>
      <c r="C32" s="94"/>
      <c r="D32" s="184"/>
      <c r="E32" s="94"/>
      <c r="F32" s="94"/>
      <c r="G32" s="385"/>
      <c r="H32" s="386"/>
      <c r="I32" s="387"/>
      <c r="J32" s="201"/>
      <c r="K32" s="386"/>
      <c r="L32" s="201"/>
      <c r="M32" s="388"/>
      <c r="N32" s="37"/>
      <c r="O32" s="389"/>
      <c r="P32" s="94"/>
      <c r="Q32" s="131"/>
      <c r="R32" s="165"/>
      <c r="S32" s="132"/>
      <c r="T32" s="201"/>
      <c r="U32" s="201"/>
      <c r="V32" s="95"/>
      <c r="X32" s="391"/>
      <c r="Y32" s="392"/>
      <c r="Z32" s="97"/>
      <c r="AA32" s="99"/>
    </row>
    <row r="33" spans="1:27" s="96" customFormat="1" ht="23.25" hidden="1">
      <c r="A33" s="129"/>
      <c r="B33" s="94"/>
      <c r="C33" s="94"/>
      <c r="D33" s="184"/>
      <c r="E33" s="94"/>
      <c r="F33" s="94"/>
      <c r="G33" s="385"/>
      <c r="H33" s="386"/>
      <c r="I33" s="201"/>
      <c r="J33" s="201"/>
      <c r="K33" s="386"/>
      <c r="L33" s="201"/>
      <c r="M33" s="388"/>
      <c r="N33" s="37"/>
      <c r="O33" s="389"/>
      <c r="P33" s="94"/>
      <c r="Q33" s="131"/>
      <c r="R33" s="165"/>
      <c r="S33" s="132"/>
      <c r="T33" s="201"/>
      <c r="U33" s="393"/>
      <c r="V33" s="95"/>
      <c r="X33" s="223"/>
      <c r="Y33" s="98"/>
      <c r="Z33" s="97"/>
      <c r="AA33" s="99"/>
    </row>
    <row r="34" spans="1:27" s="96" customFormat="1" hidden="1">
      <c r="A34" s="129"/>
      <c r="B34" s="94"/>
      <c r="C34" s="94"/>
      <c r="D34" s="184"/>
      <c r="E34" s="94"/>
      <c r="F34" s="94"/>
      <c r="G34" s="385"/>
      <c r="H34" s="386"/>
      <c r="I34" s="201"/>
      <c r="J34" s="201"/>
      <c r="K34" s="386"/>
      <c r="L34" s="201"/>
      <c r="M34" s="388"/>
      <c r="N34" s="37"/>
      <c r="O34" s="389"/>
      <c r="P34" s="94"/>
      <c r="Q34" s="131"/>
      <c r="R34" s="165"/>
      <c r="S34" s="132"/>
      <c r="T34" s="201"/>
      <c r="U34" s="201"/>
      <c r="V34" s="95"/>
      <c r="X34" s="223"/>
      <c r="Y34" s="98"/>
      <c r="Z34" s="97"/>
      <c r="AA34" s="99"/>
    </row>
    <row r="35" spans="1:27" s="96" customFormat="1" hidden="1">
      <c r="A35" s="129"/>
      <c r="B35" s="94"/>
      <c r="C35" s="94"/>
      <c r="D35" s="184"/>
      <c r="E35" s="94"/>
      <c r="F35" s="94"/>
      <c r="G35" s="385"/>
      <c r="H35" s="386"/>
      <c r="I35" s="201"/>
      <c r="J35" s="201"/>
      <c r="K35" s="386"/>
      <c r="L35" s="201"/>
      <c r="M35" s="388"/>
      <c r="N35" s="37"/>
      <c r="O35" s="389"/>
      <c r="P35" s="94"/>
      <c r="Q35" s="131"/>
      <c r="R35" s="165"/>
      <c r="S35" s="132"/>
      <c r="T35" s="201"/>
      <c r="U35" s="201"/>
      <c r="V35" s="95"/>
      <c r="X35" s="223"/>
      <c r="Y35" s="98"/>
      <c r="Z35" s="97"/>
      <c r="AA35" s="99"/>
    </row>
    <row r="36" spans="1:27" s="96" customFormat="1" hidden="1">
      <c r="A36" s="129"/>
      <c r="B36" s="94"/>
      <c r="C36" s="94"/>
      <c r="D36" s="184"/>
      <c r="E36" s="94"/>
      <c r="F36" s="94"/>
      <c r="G36" s="385"/>
      <c r="H36" s="386"/>
      <c r="I36" s="201"/>
      <c r="J36" s="201"/>
      <c r="K36" s="386"/>
      <c r="L36" s="201"/>
      <c r="M36" s="388"/>
      <c r="N36" s="37"/>
      <c r="O36" s="389"/>
      <c r="P36" s="94"/>
      <c r="Q36" s="131"/>
      <c r="R36" s="165"/>
      <c r="S36" s="132"/>
      <c r="T36" s="201"/>
      <c r="U36" s="201"/>
      <c r="V36" s="95"/>
      <c r="X36" s="223"/>
      <c r="Y36" s="98"/>
      <c r="Z36" s="97"/>
      <c r="AA36" s="99"/>
    </row>
    <row r="37" spans="1:27" s="96" customFormat="1" hidden="1">
      <c r="A37" s="129"/>
      <c r="B37" s="94"/>
      <c r="C37" s="94"/>
      <c r="D37" s="184"/>
      <c r="E37" s="94"/>
      <c r="F37" s="94"/>
      <c r="G37" s="385"/>
      <c r="H37" s="386"/>
      <c r="I37" s="201"/>
      <c r="J37" s="201"/>
      <c r="K37" s="386"/>
      <c r="L37" s="201"/>
      <c r="M37" s="388"/>
      <c r="N37" s="37"/>
      <c r="O37" s="389"/>
      <c r="P37" s="94"/>
      <c r="Q37" s="131"/>
      <c r="R37" s="165"/>
      <c r="S37" s="132"/>
      <c r="T37" s="201"/>
      <c r="U37" s="201"/>
      <c r="V37" s="95"/>
      <c r="X37" s="223"/>
      <c r="Y37" s="98"/>
      <c r="Z37" s="97"/>
      <c r="AA37" s="99"/>
    </row>
    <row r="38" spans="1:27" s="96" customFormat="1" hidden="1">
      <c r="A38" s="129"/>
      <c r="B38" s="94"/>
      <c r="C38" s="94"/>
      <c r="D38" s="184"/>
      <c r="E38" s="94"/>
      <c r="F38" s="94"/>
      <c r="G38" s="385"/>
      <c r="H38" s="386"/>
      <c r="I38" s="201"/>
      <c r="J38" s="201"/>
      <c r="K38" s="386"/>
      <c r="L38" s="201"/>
      <c r="M38" s="388"/>
      <c r="N38" s="37"/>
      <c r="O38" s="389"/>
      <c r="P38" s="94"/>
      <c r="Q38" s="131"/>
      <c r="R38" s="165"/>
      <c r="S38" s="132"/>
      <c r="T38" s="201"/>
      <c r="U38" s="201"/>
      <c r="V38" s="95"/>
      <c r="X38" s="223"/>
      <c r="Y38" s="98"/>
      <c r="Z38" s="97"/>
      <c r="AA38" s="99"/>
    </row>
    <row r="39" spans="1:27" s="96" customFormat="1" hidden="1">
      <c r="A39" s="129"/>
      <c r="B39" s="94"/>
      <c r="C39" s="94"/>
      <c r="D39" s="184"/>
      <c r="E39" s="94"/>
      <c r="F39" s="94"/>
      <c r="G39" s="385"/>
      <c r="H39" s="386"/>
      <c r="I39" s="201"/>
      <c r="J39" s="201"/>
      <c r="K39" s="386"/>
      <c r="L39" s="201"/>
      <c r="M39" s="388"/>
      <c r="N39" s="37"/>
      <c r="O39" s="389"/>
      <c r="P39" s="94"/>
      <c r="Q39" s="131"/>
      <c r="R39" s="165"/>
      <c r="S39" s="132"/>
      <c r="T39" s="201"/>
      <c r="U39" s="201"/>
      <c r="V39" s="95"/>
      <c r="X39" s="223"/>
      <c r="Y39" s="98"/>
      <c r="Z39" s="97"/>
      <c r="AA39" s="99"/>
    </row>
    <row r="40" spans="1:27" s="96" customFormat="1" hidden="1">
      <c r="A40" s="129"/>
      <c r="B40" s="94"/>
      <c r="C40" s="94"/>
      <c r="D40" s="184"/>
      <c r="E40" s="94"/>
      <c r="F40" s="94"/>
      <c r="G40" s="385"/>
      <c r="H40" s="386"/>
      <c r="I40" s="201"/>
      <c r="J40" s="201"/>
      <c r="K40" s="386"/>
      <c r="L40" s="201"/>
      <c r="M40" s="388"/>
      <c r="N40" s="37"/>
      <c r="O40" s="389"/>
      <c r="P40" s="94"/>
      <c r="Q40" s="131"/>
      <c r="R40" s="165"/>
      <c r="S40" s="132"/>
      <c r="T40" s="201"/>
      <c r="U40" s="201"/>
      <c r="V40" s="95"/>
      <c r="X40" s="223"/>
      <c r="Y40" s="98"/>
      <c r="Z40" s="97"/>
      <c r="AA40" s="99"/>
    </row>
    <row r="41" spans="1:27" s="96" customFormat="1" hidden="1">
      <c r="A41" s="129"/>
      <c r="B41" s="94"/>
      <c r="C41" s="94"/>
      <c r="D41" s="184"/>
      <c r="E41" s="94"/>
      <c r="F41" s="94"/>
      <c r="G41" s="385"/>
      <c r="H41" s="386"/>
      <c r="I41" s="201"/>
      <c r="J41" s="201"/>
      <c r="K41" s="386"/>
      <c r="L41" s="201"/>
      <c r="M41" s="388"/>
      <c r="N41" s="37"/>
      <c r="O41" s="389"/>
      <c r="P41" s="94"/>
      <c r="Q41" s="131"/>
      <c r="R41" s="165"/>
      <c r="S41" s="132"/>
      <c r="T41" s="201"/>
      <c r="U41" s="201"/>
      <c r="V41" s="95"/>
      <c r="X41" s="223"/>
      <c r="Y41" s="98"/>
      <c r="Z41" s="97"/>
      <c r="AA41" s="99"/>
    </row>
    <row r="42" spans="1:27" s="96" customFormat="1" hidden="1">
      <c r="A42" s="129"/>
      <c r="B42" s="94"/>
      <c r="C42" s="94"/>
      <c r="D42" s="184"/>
      <c r="E42" s="94"/>
      <c r="F42" s="94"/>
      <c r="G42" s="385"/>
      <c r="H42" s="386"/>
      <c r="I42" s="201"/>
      <c r="J42" s="201"/>
      <c r="K42" s="386"/>
      <c r="L42" s="201"/>
      <c r="M42" s="388"/>
      <c r="N42" s="37"/>
      <c r="O42" s="389"/>
      <c r="P42" s="94"/>
      <c r="Q42" s="131"/>
      <c r="R42" s="165"/>
      <c r="S42" s="132"/>
      <c r="T42" s="201"/>
      <c r="U42" s="201"/>
      <c r="V42" s="95"/>
      <c r="X42" s="223"/>
      <c r="Y42" s="98"/>
      <c r="Z42" s="97"/>
      <c r="AA42" s="99"/>
    </row>
    <row r="43" spans="1:27" s="96" customFormat="1" hidden="1">
      <c r="A43" s="129"/>
      <c r="B43" s="94"/>
      <c r="C43" s="94"/>
      <c r="D43" s="184"/>
      <c r="E43" s="94"/>
      <c r="F43" s="94"/>
      <c r="G43" s="385"/>
      <c r="H43" s="386"/>
      <c r="I43" s="201"/>
      <c r="J43" s="201"/>
      <c r="K43" s="386"/>
      <c r="L43" s="201"/>
      <c r="M43" s="388"/>
      <c r="N43" s="37"/>
      <c r="O43" s="389"/>
      <c r="P43" s="94"/>
      <c r="Q43" s="131"/>
      <c r="R43" s="165"/>
      <c r="S43" s="132"/>
      <c r="T43" s="201"/>
      <c r="U43" s="201"/>
      <c r="V43" s="95"/>
      <c r="X43" s="223"/>
      <c r="Y43" s="98"/>
      <c r="Z43" s="97"/>
      <c r="AA43" s="99"/>
    </row>
    <row r="44" spans="1:27" s="96" customFormat="1" hidden="1">
      <c r="A44" s="129"/>
      <c r="B44" s="94"/>
      <c r="C44" s="94"/>
      <c r="D44" s="184"/>
      <c r="E44" s="94"/>
      <c r="F44" s="94"/>
      <c r="G44" s="385"/>
      <c r="H44" s="386"/>
      <c r="I44" s="201"/>
      <c r="J44" s="201"/>
      <c r="K44" s="386"/>
      <c r="L44" s="201"/>
      <c r="M44" s="388"/>
      <c r="N44" s="37"/>
      <c r="O44" s="389"/>
      <c r="P44" s="94"/>
      <c r="Q44" s="131"/>
      <c r="R44" s="165"/>
      <c r="S44" s="132"/>
      <c r="T44" s="201"/>
      <c r="U44" s="201"/>
      <c r="V44" s="95"/>
      <c r="X44" s="223"/>
      <c r="Y44" s="98"/>
      <c r="Z44" s="97"/>
      <c r="AA44" s="99"/>
    </row>
    <row r="45" spans="1:27" s="96" customFormat="1" hidden="1">
      <c r="A45" s="129"/>
      <c r="B45" s="94"/>
      <c r="C45" s="94"/>
      <c r="D45" s="184"/>
      <c r="E45" s="94"/>
      <c r="F45" s="94"/>
      <c r="G45" s="385"/>
      <c r="H45" s="386"/>
      <c r="I45" s="201"/>
      <c r="J45" s="201"/>
      <c r="K45" s="386"/>
      <c r="L45" s="201"/>
      <c r="M45" s="388"/>
      <c r="N45" s="37"/>
      <c r="O45" s="389"/>
      <c r="P45" s="94"/>
      <c r="Q45" s="131"/>
      <c r="R45" s="165"/>
      <c r="S45" s="132"/>
      <c r="T45" s="201"/>
      <c r="U45" s="201"/>
      <c r="V45" s="95"/>
      <c r="X45" s="223"/>
      <c r="Y45" s="98"/>
      <c r="Z45" s="97"/>
      <c r="AA45" s="99"/>
    </row>
    <row r="46" spans="1:27" s="96" customFormat="1" hidden="1">
      <c r="A46" s="129"/>
      <c r="B46" s="94"/>
      <c r="C46" s="94"/>
      <c r="D46" s="184"/>
      <c r="E46" s="94"/>
      <c r="F46" s="94"/>
      <c r="G46" s="385"/>
      <c r="H46" s="386"/>
      <c r="I46" s="201"/>
      <c r="J46" s="201"/>
      <c r="K46" s="386"/>
      <c r="L46" s="201"/>
      <c r="M46" s="388"/>
      <c r="N46" s="37"/>
      <c r="O46" s="389"/>
      <c r="P46" s="94"/>
      <c r="Q46" s="131"/>
      <c r="R46" s="165"/>
      <c r="S46" s="132"/>
      <c r="T46" s="201"/>
      <c r="U46" s="201"/>
      <c r="V46" s="95"/>
      <c r="X46" s="223"/>
      <c r="Y46" s="98"/>
      <c r="Z46" s="97"/>
      <c r="AA46" s="99"/>
    </row>
    <row r="47" spans="1:27" s="96" customFormat="1" hidden="1">
      <c r="A47" s="129"/>
      <c r="B47" s="94"/>
      <c r="C47" s="94"/>
      <c r="D47" s="184"/>
      <c r="E47" s="94"/>
      <c r="F47" s="94"/>
      <c r="G47" s="385"/>
      <c r="H47" s="386"/>
      <c r="I47" s="201"/>
      <c r="J47" s="201"/>
      <c r="K47" s="386"/>
      <c r="L47" s="201"/>
      <c r="M47" s="388"/>
      <c r="N47" s="37"/>
      <c r="O47" s="389"/>
      <c r="P47" s="94"/>
      <c r="Q47" s="131"/>
      <c r="R47" s="165"/>
      <c r="S47" s="132"/>
      <c r="T47" s="201"/>
      <c r="U47" s="201"/>
      <c r="V47" s="95"/>
      <c r="X47" s="223"/>
      <c r="Y47" s="98"/>
      <c r="Z47" s="97"/>
      <c r="AA47" s="99"/>
    </row>
    <row r="48" spans="1:27" s="96" customFormat="1" hidden="1">
      <c r="A48" s="129"/>
      <c r="B48" s="94"/>
      <c r="C48" s="94"/>
      <c r="D48" s="184"/>
      <c r="E48" s="94"/>
      <c r="F48" s="94"/>
      <c r="G48" s="385"/>
      <c r="H48" s="386"/>
      <c r="I48" s="201"/>
      <c r="J48" s="201"/>
      <c r="K48" s="386"/>
      <c r="L48" s="201"/>
      <c r="M48" s="388"/>
      <c r="N48" s="37"/>
      <c r="O48" s="389"/>
      <c r="P48" s="94"/>
      <c r="Q48" s="131"/>
      <c r="R48" s="165"/>
      <c r="S48" s="132"/>
      <c r="T48" s="201"/>
      <c r="U48" s="201"/>
      <c r="V48" s="95"/>
      <c r="X48" s="223"/>
      <c r="Y48" s="98"/>
      <c r="Z48" s="97"/>
      <c r="AA48" s="99"/>
    </row>
    <row r="49" spans="1:27" s="96" customFormat="1">
      <c r="A49" s="129"/>
      <c r="B49" s="94"/>
      <c r="C49" s="94"/>
      <c r="D49" s="184"/>
      <c r="E49" s="94"/>
      <c r="F49" s="94"/>
      <c r="G49" s="385"/>
      <c r="H49" s="386"/>
      <c r="I49" s="201"/>
      <c r="J49" s="201"/>
      <c r="K49" s="386"/>
      <c r="L49" s="201"/>
      <c r="M49" s="388"/>
      <c r="N49" s="37"/>
      <c r="O49" s="389"/>
      <c r="P49" s="94"/>
      <c r="Q49" s="131"/>
      <c r="R49" s="165"/>
      <c r="S49" s="132"/>
      <c r="T49" s="131"/>
      <c r="U49" s="131"/>
      <c r="V49" s="95"/>
      <c r="X49" s="223"/>
      <c r="Y49" s="98"/>
      <c r="Z49" s="97"/>
      <c r="AA49" s="99"/>
    </row>
    <row r="50" spans="1:27" s="96" customFormat="1">
      <c r="A50" s="129"/>
      <c r="B50" s="94"/>
      <c r="C50" s="94"/>
      <c r="D50" s="184"/>
      <c r="E50" s="94"/>
      <c r="F50" s="394"/>
      <c r="G50" s="394"/>
      <c r="H50" s="395"/>
      <c r="I50" s="396"/>
      <c r="J50" s="397"/>
      <c r="K50" s="395"/>
      <c r="L50" s="201"/>
      <c r="M50" s="388"/>
      <c r="N50" s="398"/>
      <c r="O50" s="389"/>
      <c r="P50" s="94"/>
      <c r="Q50" s="131"/>
      <c r="R50" s="165"/>
      <c r="S50" s="132"/>
      <c r="T50" s="131"/>
      <c r="U50" s="131"/>
      <c r="V50" s="95"/>
      <c r="X50" s="223"/>
      <c r="Y50" s="98"/>
      <c r="Z50" s="97"/>
      <c r="AA50" s="99"/>
    </row>
    <row r="51" spans="1:27" s="96" customFormat="1">
      <c r="A51" s="129"/>
      <c r="B51" s="94"/>
      <c r="C51" s="94"/>
      <c r="D51" s="184"/>
      <c r="E51" s="94"/>
      <c r="F51" s="394"/>
      <c r="G51" s="394"/>
      <c r="H51" s="396"/>
      <c r="I51" s="396"/>
      <c r="J51" s="397"/>
      <c r="K51" s="396"/>
      <c r="L51" s="201"/>
      <c r="M51" s="388"/>
      <c r="N51" s="398"/>
      <c r="O51" s="389"/>
      <c r="P51" s="94"/>
      <c r="Q51" s="131"/>
      <c r="R51" s="165"/>
      <c r="S51" s="132"/>
      <c r="T51" s="131"/>
      <c r="U51" s="131"/>
      <c r="V51" s="95"/>
      <c r="X51" s="223"/>
      <c r="Y51" s="98"/>
      <c r="Z51" s="97"/>
      <c r="AA51" s="99"/>
    </row>
    <row r="52" spans="1:27" s="96" customFormat="1" hidden="1">
      <c r="A52" s="129"/>
      <c r="B52" s="94"/>
      <c r="C52" s="94"/>
      <c r="D52" s="184"/>
      <c r="E52" s="94"/>
      <c r="F52" s="394"/>
      <c r="G52" s="394"/>
      <c r="H52" s="396"/>
      <c r="I52" s="396"/>
      <c r="J52" s="397"/>
      <c r="K52" s="396"/>
      <c r="L52" s="201"/>
      <c r="M52" s="388"/>
      <c r="N52" s="398"/>
      <c r="O52" s="389"/>
      <c r="P52" s="94"/>
      <c r="Q52" s="131"/>
      <c r="R52" s="165"/>
      <c r="S52" s="132"/>
      <c r="T52" s="201"/>
      <c r="U52" s="201"/>
      <c r="V52" s="95"/>
      <c r="X52" s="223"/>
      <c r="Y52" s="98"/>
      <c r="Z52" s="97"/>
      <c r="AA52" s="99"/>
    </row>
    <row r="53" spans="1:27" s="96" customFormat="1" hidden="1">
      <c r="A53" s="129"/>
      <c r="B53" s="94"/>
      <c r="C53" s="94"/>
      <c r="D53" s="184"/>
      <c r="E53" s="94"/>
      <c r="F53" s="394"/>
      <c r="G53" s="394"/>
      <c r="H53" s="396"/>
      <c r="I53" s="396"/>
      <c r="J53" s="397"/>
      <c r="K53" s="396"/>
      <c r="L53" s="201"/>
      <c r="M53" s="388"/>
      <c r="N53" s="398"/>
      <c r="O53" s="389"/>
      <c r="P53" s="94"/>
      <c r="Q53" s="131"/>
      <c r="R53" s="165"/>
      <c r="S53" s="132"/>
      <c r="T53" s="201"/>
      <c r="U53" s="201"/>
      <c r="V53" s="95"/>
      <c r="X53" s="223"/>
      <c r="Y53" s="98"/>
      <c r="Z53" s="97"/>
      <c r="AA53" s="99"/>
    </row>
    <row r="54" spans="1:27" s="96" customFormat="1" hidden="1">
      <c r="A54" s="129"/>
      <c r="B54" s="94"/>
      <c r="C54" s="94"/>
      <c r="D54" s="184"/>
      <c r="E54" s="94"/>
      <c r="F54" s="394"/>
      <c r="G54" s="394"/>
      <c r="H54" s="396"/>
      <c r="I54" s="396"/>
      <c r="J54" s="397"/>
      <c r="K54" s="396"/>
      <c r="L54" s="201"/>
      <c r="M54" s="388"/>
      <c r="N54" s="398"/>
      <c r="O54" s="389"/>
      <c r="P54" s="94"/>
      <c r="Q54" s="131"/>
      <c r="R54" s="165"/>
      <c r="S54" s="132"/>
      <c r="T54" s="201"/>
      <c r="U54" s="201"/>
      <c r="V54" s="95"/>
      <c r="X54" s="223"/>
      <c r="Y54" s="98"/>
      <c r="Z54" s="97"/>
      <c r="AA54" s="99"/>
    </row>
    <row r="55" spans="1:27" s="96" customFormat="1" hidden="1">
      <c r="A55" s="129"/>
      <c r="B55" s="94"/>
      <c r="C55" s="94"/>
      <c r="D55" s="184"/>
      <c r="E55" s="94"/>
      <c r="F55" s="394"/>
      <c r="G55" s="394"/>
      <c r="H55" s="396"/>
      <c r="I55" s="396"/>
      <c r="J55" s="397"/>
      <c r="K55" s="396"/>
      <c r="L55" s="201"/>
      <c r="M55" s="388"/>
      <c r="N55" s="398"/>
      <c r="O55" s="389"/>
      <c r="P55" s="94"/>
      <c r="Q55" s="131"/>
      <c r="R55" s="165"/>
      <c r="S55" s="132"/>
      <c r="T55" s="201"/>
      <c r="U55" s="201"/>
      <c r="V55" s="95"/>
      <c r="X55" s="223"/>
      <c r="Y55" s="98"/>
      <c r="Z55" s="97"/>
      <c r="AA55" s="99"/>
    </row>
    <row r="56" spans="1:27" s="96" customFormat="1" hidden="1">
      <c r="A56" s="129"/>
      <c r="B56" s="94"/>
      <c r="C56" s="94"/>
      <c r="D56" s="184"/>
      <c r="E56" s="94"/>
      <c r="F56" s="394"/>
      <c r="G56" s="394"/>
      <c r="H56" s="396"/>
      <c r="I56" s="396"/>
      <c r="J56" s="397"/>
      <c r="K56" s="396"/>
      <c r="L56" s="201"/>
      <c r="M56" s="388"/>
      <c r="N56" s="398"/>
      <c r="O56" s="389"/>
      <c r="P56" s="94"/>
      <c r="Q56" s="131"/>
      <c r="R56" s="165"/>
      <c r="S56" s="132"/>
      <c r="T56" s="201"/>
      <c r="U56" s="201"/>
      <c r="V56" s="95"/>
      <c r="X56" s="223"/>
      <c r="Y56" s="98"/>
      <c r="Z56" s="97"/>
      <c r="AA56" s="99"/>
    </row>
    <row r="57" spans="1:27" s="96" customFormat="1" hidden="1">
      <c r="A57" s="129"/>
      <c r="B57" s="94"/>
      <c r="C57" s="94"/>
      <c r="D57" s="184"/>
      <c r="E57" s="94"/>
      <c r="F57" s="394"/>
      <c r="G57" s="394"/>
      <c r="H57" s="396"/>
      <c r="I57" s="396"/>
      <c r="J57" s="397"/>
      <c r="K57" s="396"/>
      <c r="L57" s="201"/>
      <c r="M57" s="388"/>
      <c r="N57" s="398"/>
      <c r="O57" s="389"/>
      <c r="P57" s="94"/>
      <c r="Q57" s="131"/>
      <c r="R57" s="165"/>
      <c r="S57" s="132"/>
      <c r="T57" s="201"/>
      <c r="U57" s="201"/>
      <c r="V57" s="95"/>
      <c r="X57" s="223"/>
      <c r="Y57" s="98"/>
      <c r="Z57" s="97"/>
      <c r="AA57" s="99"/>
    </row>
    <row r="58" spans="1:27" s="96" customFormat="1" hidden="1">
      <c r="A58" s="129"/>
      <c r="B58" s="94"/>
      <c r="C58" s="94"/>
      <c r="D58" s="184"/>
      <c r="E58" s="94"/>
      <c r="F58" s="394"/>
      <c r="G58" s="394"/>
      <c r="H58" s="396"/>
      <c r="I58" s="396"/>
      <c r="J58" s="397"/>
      <c r="K58" s="396"/>
      <c r="L58" s="201"/>
      <c r="M58" s="388"/>
      <c r="N58" s="398"/>
      <c r="O58" s="389"/>
      <c r="P58" s="94"/>
      <c r="Q58" s="131"/>
      <c r="R58" s="165"/>
      <c r="S58" s="132"/>
      <c r="T58" s="201"/>
      <c r="U58" s="201"/>
      <c r="V58" s="95"/>
      <c r="X58" s="223"/>
      <c r="Y58" s="98"/>
      <c r="Z58" s="97"/>
      <c r="AA58" s="99"/>
    </row>
    <row r="59" spans="1:27" s="96" customFormat="1" hidden="1">
      <c r="A59" s="129"/>
      <c r="B59" s="94"/>
      <c r="C59" s="94"/>
      <c r="D59" s="184"/>
      <c r="E59" s="94"/>
      <c r="F59" s="394"/>
      <c r="G59" s="394"/>
      <c r="H59" s="395"/>
      <c r="I59" s="396"/>
      <c r="J59" s="397"/>
      <c r="K59" s="395"/>
      <c r="L59" s="201"/>
      <c r="M59" s="388"/>
      <c r="N59" s="398"/>
      <c r="O59" s="389"/>
      <c r="P59" s="94"/>
      <c r="Q59" s="131"/>
      <c r="R59" s="165"/>
      <c r="S59" s="132"/>
      <c r="T59" s="201"/>
      <c r="U59" s="201"/>
      <c r="V59" s="95"/>
      <c r="X59" s="223"/>
      <c r="Y59" s="98"/>
      <c r="Z59" s="97"/>
      <c r="AA59" s="99"/>
    </row>
    <row r="60" spans="1:27" s="96" customFormat="1" hidden="1">
      <c r="A60" s="129"/>
      <c r="B60" s="94"/>
      <c r="C60" s="94"/>
      <c r="D60" s="184"/>
      <c r="E60" s="94"/>
      <c r="F60" s="394"/>
      <c r="G60" s="394"/>
      <c r="H60" s="396"/>
      <c r="I60" s="396"/>
      <c r="J60" s="397"/>
      <c r="K60" s="396"/>
      <c r="L60" s="201"/>
      <c r="M60" s="388"/>
      <c r="N60" s="398"/>
      <c r="O60" s="389"/>
      <c r="P60" s="94"/>
      <c r="Q60" s="131"/>
      <c r="R60" s="165"/>
      <c r="S60" s="132"/>
      <c r="T60" s="201"/>
      <c r="U60" s="201"/>
      <c r="V60" s="95"/>
      <c r="X60" s="223"/>
      <c r="Y60" s="98"/>
      <c r="Z60" s="97"/>
      <c r="AA60" s="99"/>
    </row>
    <row r="61" spans="1:27" s="96" customFormat="1" hidden="1">
      <c r="A61" s="129"/>
      <c r="B61" s="94"/>
      <c r="C61" s="94"/>
      <c r="D61" s="184"/>
      <c r="E61" s="94"/>
      <c r="F61" s="394"/>
      <c r="G61" s="394"/>
      <c r="H61" s="395"/>
      <c r="I61" s="396"/>
      <c r="J61" s="397"/>
      <c r="K61" s="395"/>
      <c r="L61" s="201"/>
      <c r="M61" s="388"/>
      <c r="N61" s="398"/>
      <c r="O61" s="389"/>
      <c r="P61" s="94"/>
      <c r="Q61" s="131"/>
      <c r="R61" s="165"/>
      <c r="S61" s="132"/>
      <c r="T61" s="201"/>
      <c r="U61" s="201"/>
      <c r="V61" s="95"/>
      <c r="X61" s="223"/>
      <c r="Y61" s="98"/>
      <c r="Z61" s="97"/>
      <c r="AA61" s="99"/>
    </row>
    <row r="62" spans="1:27" s="96" customFormat="1" hidden="1">
      <c r="A62" s="129"/>
      <c r="B62" s="94"/>
      <c r="C62" s="94"/>
      <c r="D62" s="184"/>
      <c r="E62" s="94"/>
      <c r="F62" s="394"/>
      <c r="G62" s="394"/>
      <c r="H62" s="395"/>
      <c r="I62" s="396"/>
      <c r="J62" s="397"/>
      <c r="K62" s="395"/>
      <c r="L62" s="201"/>
      <c r="M62" s="388"/>
      <c r="N62" s="398"/>
      <c r="O62" s="389"/>
      <c r="P62" s="94"/>
      <c r="Q62" s="131"/>
      <c r="R62" s="165"/>
      <c r="S62" s="132"/>
      <c r="T62" s="201"/>
      <c r="U62" s="201"/>
      <c r="V62" s="95"/>
      <c r="X62" s="223"/>
      <c r="Y62" s="98"/>
      <c r="Z62" s="97"/>
      <c r="AA62" s="99"/>
    </row>
    <row r="63" spans="1:27" s="96" customFormat="1" hidden="1">
      <c r="A63" s="129"/>
      <c r="B63" s="94"/>
      <c r="C63" s="94"/>
      <c r="D63" s="184"/>
      <c r="E63" s="94"/>
      <c r="F63" s="394"/>
      <c r="G63" s="394"/>
      <c r="H63" s="396"/>
      <c r="I63" s="396"/>
      <c r="J63" s="397"/>
      <c r="K63" s="396"/>
      <c r="L63" s="201"/>
      <c r="M63" s="388"/>
      <c r="N63" s="398"/>
      <c r="O63" s="389"/>
      <c r="P63" s="94"/>
      <c r="Q63" s="131"/>
      <c r="R63" s="165"/>
      <c r="S63" s="132"/>
      <c r="T63" s="201"/>
      <c r="U63" s="201"/>
      <c r="V63" s="95"/>
      <c r="X63" s="223"/>
      <c r="Y63" s="98"/>
      <c r="Z63" s="97"/>
      <c r="AA63" s="99"/>
    </row>
    <row r="64" spans="1:27" s="96" customFormat="1" hidden="1">
      <c r="A64" s="129"/>
      <c r="B64" s="94"/>
      <c r="C64" s="94"/>
      <c r="D64" s="184"/>
      <c r="E64" s="94"/>
      <c r="F64" s="394"/>
      <c r="G64" s="394"/>
      <c r="H64" s="395"/>
      <c r="I64" s="396"/>
      <c r="J64" s="397"/>
      <c r="K64" s="395"/>
      <c r="L64" s="201"/>
      <c r="M64" s="388"/>
      <c r="N64" s="398"/>
      <c r="O64" s="389"/>
      <c r="P64" s="94"/>
      <c r="Q64" s="131"/>
      <c r="R64" s="165"/>
      <c r="S64" s="132"/>
      <c r="T64" s="201"/>
      <c r="U64" s="201"/>
      <c r="V64" s="95"/>
      <c r="X64" s="223"/>
      <c r="Y64" s="98"/>
      <c r="Z64" s="97"/>
      <c r="AA64" s="99"/>
    </row>
    <row r="65" spans="1:27" s="96" customFormat="1" hidden="1">
      <c r="A65" s="129"/>
      <c r="B65" s="94"/>
      <c r="C65" s="94"/>
      <c r="D65" s="184"/>
      <c r="E65" s="94"/>
      <c r="F65" s="94"/>
      <c r="G65" s="385"/>
      <c r="H65" s="386"/>
      <c r="I65" s="201"/>
      <c r="J65" s="201"/>
      <c r="K65" s="386"/>
      <c r="L65" s="386"/>
      <c r="M65" s="388"/>
      <c r="N65" s="37"/>
      <c r="O65" s="389"/>
      <c r="P65" s="94"/>
      <c r="Q65" s="131"/>
      <c r="R65" s="165"/>
      <c r="S65" s="132"/>
      <c r="T65" s="201"/>
      <c r="U65" s="201"/>
      <c r="V65" s="95"/>
      <c r="X65" s="223"/>
      <c r="Y65" s="98"/>
      <c r="Z65" s="97"/>
      <c r="AA65" s="99"/>
    </row>
    <row r="66" spans="1:27" s="96" customFormat="1" hidden="1">
      <c r="A66" s="129"/>
      <c r="B66" s="94"/>
      <c r="C66" s="94"/>
      <c r="D66" s="184"/>
      <c r="E66" s="94"/>
      <c r="F66" s="94"/>
      <c r="G66" s="385"/>
      <c r="H66" s="386"/>
      <c r="I66" s="201"/>
      <c r="J66" s="201"/>
      <c r="K66" s="386"/>
      <c r="L66" s="386"/>
      <c r="M66" s="388"/>
      <c r="N66" s="37"/>
      <c r="O66" s="389"/>
      <c r="P66" s="94"/>
      <c r="Q66" s="131"/>
      <c r="R66" s="165"/>
      <c r="S66" s="132"/>
      <c r="T66" s="201"/>
      <c r="U66" s="201"/>
      <c r="V66" s="95"/>
      <c r="X66" s="223"/>
      <c r="Y66" s="98"/>
      <c r="Z66" s="97"/>
      <c r="AA66" s="99"/>
    </row>
    <row r="67" spans="1:27" s="96" customFormat="1" hidden="1">
      <c r="A67" s="129"/>
      <c r="B67" s="94"/>
      <c r="C67" s="94"/>
      <c r="D67" s="184"/>
      <c r="E67" s="94"/>
      <c r="F67" s="94"/>
      <c r="G67" s="385"/>
      <c r="H67" s="386"/>
      <c r="I67" s="201"/>
      <c r="J67" s="201"/>
      <c r="K67" s="386"/>
      <c r="L67" s="386"/>
      <c r="M67" s="388"/>
      <c r="N67" s="37"/>
      <c r="O67" s="389"/>
      <c r="P67" s="94"/>
      <c r="Q67" s="131"/>
      <c r="R67" s="165"/>
      <c r="S67" s="132"/>
      <c r="T67" s="201"/>
      <c r="U67" s="201"/>
      <c r="V67" s="95"/>
      <c r="X67" s="223"/>
      <c r="Y67" s="98"/>
      <c r="Z67" s="97"/>
      <c r="AA67" s="99"/>
    </row>
    <row r="68" spans="1:27" s="96" customFormat="1" hidden="1">
      <c r="A68" s="129"/>
      <c r="B68" s="94"/>
      <c r="C68" s="94"/>
      <c r="D68" s="184"/>
      <c r="E68" s="94"/>
      <c r="F68" s="94"/>
      <c r="G68" s="385"/>
      <c r="H68" s="386"/>
      <c r="I68" s="201"/>
      <c r="J68" s="201"/>
      <c r="K68" s="386"/>
      <c r="L68" s="386"/>
      <c r="M68" s="388"/>
      <c r="N68" s="37"/>
      <c r="O68" s="389"/>
      <c r="P68" s="94"/>
      <c r="Q68" s="131"/>
      <c r="R68" s="165"/>
      <c r="S68" s="132"/>
      <c r="T68" s="201"/>
      <c r="U68" s="201"/>
      <c r="V68" s="95"/>
      <c r="X68" s="223"/>
      <c r="Y68" s="98"/>
      <c r="Z68" s="97"/>
      <c r="AA68" s="99"/>
    </row>
    <row r="69" spans="1:27" s="96" customFormat="1">
      <c r="A69" s="129"/>
      <c r="B69" s="94"/>
      <c r="C69" s="94"/>
      <c r="D69" s="184"/>
      <c r="E69" s="94"/>
      <c r="F69" s="94"/>
      <c r="G69" s="385"/>
      <c r="H69" s="386"/>
      <c r="I69" s="201"/>
      <c r="J69" s="201"/>
      <c r="K69" s="386"/>
      <c r="L69" s="386"/>
      <c r="M69" s="388"/>
      <c r="N69" s="37"/>
      <c r="O69" s="389"/>
      <c r="P69" s="94"/>
      <c r="Q69" s="131"/>
      <c r="R69" s="165"/>
      <c r="S69" s="132"/>
      <c r="T69" s="201"/>
      <c r="U69" s="201"/>
      <c r="V69" s="95"/>
      <c r="X69" s="223"/>
      <c r="Y69" s="98"/>
      <c r="Z69" s="97"/>
      <c r="AA69" s="99"/>
    </row>
    <row r="70" spans="1:27" s="96" customFormat="1" hidden="1">
      <c r="A70" s="129"/>
      <c r="B70" s="94"/>
      <c r="C70" s="94"/>
      <c r="D70" s="184"/>
      <c r="E70" s="94"/>
      <c r="F70" s="94"/>
      <c r="G70" s="385"/>
      <c r="H70" s="386"/>
      <c r="I70" s="201"/>
      <c r="J70" s="201"/>
      <c r="K70" s="386"/>
      <c r="L70" s="201"/>
      <c r="M70" s="388"/>
      <c r="N70" s="37"/>
      <c r="O70" s="389"/>
      <c r="P70" s="94"/>
      <c r="Q70" s="131"/>
      <c r="R70" s="165"/>
      <c r="S70" s="132"/>
      <c r="T70" s="201"/>
      <c r="U70" s="201"/>
      <c r="V70" s="95"/>
      <c r="X70" s="223"/>
      <c r="Y70" s="98"/>
      <c r="Z70" s="97"/>
      <c r="AA70" s="99"/>
    </row>
    <row r="71" spans="1:27" s="96" customFormat="1" hidden="1">
      <c r="A71" s="129"/>
      <c r="B71" s="94"/>
      <c r="C71" s="94"/>
      <c r="D71" s="184"/>
      <c r="E71" s="94"/>
      <c r="F71" s="94"/>
      <c r="G71" s="385"/>
      <c r="H71" s="386"/>
      <c r="I71" s="201"/>
      <c r="J71" s="201"/>
      <c r="K71" s="386"/>
      <c r="L71" s="201"/>
      <c r="M71" s="388"/>
      <c r="N71" s="37"/>
      <c r="O71" s="389"/>
      <c r="P71" s="94"/>
      <c r="Q71" s="131"/>
      <c r="R71" s="165"/>
      <c r="S71" s="132"/>
      <c r="T71" s="201"/>
      <c r="U71" s="201"/>
      <c r="V71" s="95"/>
      <c r="X71" s="223"/>
      <c r="Y71" s="98"/>
      <c r="Z71" s="97"/>
      <c r="AA71" s="99"/>
    </row>
    <row r="72" spans="1:27" s="96" customFormat="1" hidden="1">
      <c r="A72" s="129"/>
      <c r="B72" s="94"/>
      <c r="C72" s="94"/>
      <c r="D72" s="184"/>
      <c r="E72" s="94"/>
      <c r="F72" s="94"/>
      <c r="G72" s="385"/>
      <c r="H72" s="386"/>
      <c r="I72" s="201"/>
      <c r="J72" s="201"/>
      <c r="K72" s="386"/>
      <c r="L72" s="201"/>
      <c r="M72" s="388"/>
      <c r="N72" s="37"/>
      <c r="O72" s="389"/>
      <c r="P72" s="94"/>
      <c r="Q72" s="131"/>
      <c r="R72" s="165"/>
      <c r="S72" s="132"/>
      <c r="T72" s="201"/>
      <c r="U72" s="201"/>
      <c r="V72" s="95"/>
      <c r="X72" s="223"/>
      <c r="Y72" s="98"/>
      <c r="Z72" s="97"/>
      <c r="AA72" s="99"/>
    </row>
    <row r="73" spans="1:27" s="96" customFormat="1" hidden="1">
      <c r="A73" s="129"/>
      <c r="B73" s="94"/>
      <c r="C73" s="94"/>
      <c r="D73" s="184"/>
      <c r="E73" s="94"/>
      <c r="F73" s="94"/>
      <c r="G73" s="385"/>
      <c r="H73" s="386"/>
      <c r="I73" s="201"/>
      <c r="J73" s="201"/>
      <c r="K73" s="386"/>
      <c r="L73" s="201"/>
      <c r="M73" s="388"/>
      <c r="N73" s="37"/>
      <c r="O73" s="389"/>
      <c r="P73" s="94"/>
      <c r="Q73" s="131"/>
      <c r="R73" s="165"/>
      <c r="S73" s="132"/>
      <c r="T73" s="201"/>
      <c r="U73" s="201"/>
      <c r="V73" s="95"/>
      <c r="X73" s="223"/>
      <c r="Y73" s="98"/>
      <c r="Z73" s="97"/>
      <c r="AA73" s="99"/>
    </row>
    <row r="74" spans="1:27" s="96" customFormat="1" hidden="1">
      <c r="A74" s="129"/>
      <c r="B74" s="94"/>
      <c r="C74" s="94"/>
      <c r="D74" s="184"/>
      <c r="E74" s="94"/>
      <c r="F74" s="94"/>
      <c r="G74" s="385"/>
      <c r="H74" s="386"/>
      <c r="I74" s="201"/>
      <c r="J74" s="201"/>
      <c r="K74" s="386"/>
      <c r="L74" s="201"/>
      <c r="M74" s="388"/>
      <c r="N74" s="37"/>
      <c r="O74" s="389"/>
      <c r="P74" s="94"/>
      <c r="Q74" s="131"/>
      <c r="R74" s="165"/>
      <c r="S74" s="132"/>
      <c r="T74" s="201"/>
      <c r="U74" s="201"/>
      <c r="V74" s="95"/>
      <c r="X74" s="223"/>
      <c r="Y74" s="98"/>
      <c r="Z74" s="97"/>
      <c r="AA74" s="99"/>
    </row>
    <row r="75" spans="1:27" s="96" customFormat="1" hidden="1">
      <c r="A75" s="129"/>
      <c r="B75" s="94"/>
      <c r="C75" s="94"/>
      <c r="D75" s="184"/>
      <c r="E75" s="94"/>
      <c r="F75" s="94"/>
      <c r="G75" s="385"/>
      <c r="H75" s="386"/>
      <c r="I75" s="201"/>
      <c r="J75" s="201"/>
      <c r="K75" s="386"/>
      <c r="L75" s="201"/>
      <c r="M75" s="388"/>
      <c r="N75" s="37"/>
      <c r="O75" s="389"/>
      <c r="P75" s="94"/>
      <c r="Q75" s="131"/>
      <c r="R75" s="165"/>
      <c r="S75" s="132"/>
      <c r="T75" s="201"/>
      <c r="U75" s="201"/>
      <c r="V75" s="95"/>
      <c r="X75" s="223"/>
      <c r="Y75" s="98"/>
      <c r="Z75" s="97"/>
      <c r="AA75" s="99"/>
    </row>
    <row r="76" spans="1:27" s="96" customFormat="1" hidden="1">
      <c r="A76" s="129"/>
      <c r="B76" s="94"/>
      <c r="C76" s="94"/>
      <c r="D76" s="184"/>
      <c r="E76" s="94"/>
      <c r="F76" s="94"/>
      <c r="G76" s="385"/>
      <c r="H76" s="386"/>
      <c r="I76" s="201"/>
      <c r="J76" s="201"/>
      <c r="K76" s="386"/>
      <c r="L76" s="201"/>
      <c r="M76" s="388"/>
      <c r="N76" s="37"/>
      <c r="O76" s="389"/>
      <c r="P76" s="94"/>
      <c r="Q76" s="131"/>
      <c r="R76" s="165"/>
      <c r="S76" s="132"/>
      <c r="T76" s="201"/>
      <c r="U76" s="201"/>
      <c r="V76" s="95"/>
      <c r="X76" s="223"/>
      <c r="Y76" s="98"/>
      <c r="Z76" s="97"/>
      <c r="AA76" s="99"/>
    </row>
    <row r="77" spans="1:27" s="96" customFormat="1" hidden="1">
      <c r="A77" s="129"/>
      <c r="B77" s="94"/>
      <c r="C77" s="94"/>
      <c r="D77" s="184"/>
      <c r="E77" s="94"/>
      <c r="F77" s="94"/>
      <c r="G77" s="385"/>
      <c r="H77" s="386"/>
      <c r="I77" s="201"/>
      <c r="J77" s="201"/>
      <c r="K77" s="386"/>
      <c r="L77" s="201"/>
      <c r="M77" s="388"/>
      <c r="N77" s="37"/>
      <c r="O77" s="389"/>
      <c r="P77" s="94"/>
      <c r="Q77" s="131"/>
      <c r="R77" s="165"/>
      <c r="S77" s="132"/>
      <c r="T77" s="201"/>
      <c r="U77" s="201"/>
      <c r="V77" s="95"/>
      <c r="X77" s="223"/>
      <c r="Y77" s="98"/>
      <c r="Z77" s="97"/>
      <c r="AA77" s="99"/>
    </row>
    <row r="78" spans="1:27" s="96" customFormat="1" hidden="1">
      <c r="A78" s="129"/>
      <c r="B78" s="94"/>
      <c r="C78" s="94"/>
      <c r="D78" s="184"/>
      <c r="E78" s="94"/>
      <c r="F78" s="94"/>
      <c r="G78" s="385"/>
      <c r="H78" s="386"/>
      <c r="I78" s="201"/>
      <c r="J78" s="201"/>
      <c r="K78" s="386"/>
      <c r="L78" s="201"/>
      <c r="M78" s="388"/>
      <c r="N78" s="37"/>
      <c r="O78" s="389"/>
      <c r="P78" s="94"/>
      <c r="Q78" s="131"/>
      <c r="R78" s="165"/>
      <c r="S78" s="132"/>
      <c r="T78" s="201"/>
      <c r="U78" s="201"/>
      <c r="V78" s="95"/>
      <c r="X78" s="223"/>
      <c r="Y78" s="98"/>
      <c r="Z78" s="97"/>
      <c r="AA78" s="99"/>
    </row>
    <row r="79" spans="1:27" s="96" customFormat="1">
      <c r="A79" s="129"/>
      <c r="B79" s="94"/>
      <c r="C79" s="94"/>
      <c r="D79" s="184"/>
      <c r="E79" s="94"/>
      <c r="F79" s="94"/>
      <c r="G79" s="385"/>
      <c r="H79" s="386"/>
      <c r="I79" s="201"/>
      <c r="J79" s="201"/>
      <c r="K79" s="386"/>
      <c r="L79" s="201"/>
      <c r="M79" s="388"/>
      <c r="N79" s="37"/>
      <c r="O79" s="389"/>
      <c r="P79" s="94"/>
      <c r="Q79" s="131"/>
      <c r="R79" s="165"/>
      <c r="S79" s="132"/>
      <c r="T79" s="131"/>
      <c r="U79" s="131"/>
      <c r="V79" s="95"/>
      <c r="X79" s="223"/>
      <c r="Y79" s="98"/>
      <c r="Z79" s="97"/>
      <c r="AA79" s="99"/>
    </row>
    <row r="80" spans="1:27" s="96" customFormat="1">
      <c r="A80" s="129"/>
      <c r="B80" s="94"/>
      <c r="C80" s="94"/>
      <c r="D80" s="184"/>
      <c r="E80" s="94"/>
      <c r="F80" s="94"/>
      <c r="G80" s="385"/>
      <c r="H80" s="386"/>
      <c r="I80" s="201"/>
      <c r="J80" s="201"/>
      <c r="K80" s="386"/>
      <c r="L80" s="201"/>
      <c r="M80" s="388"/>
      <c r="N80" s="37"/>
      <c r="O80" s="389"/>
      <c r="P80" s="94"/>
      <c r="Q80" s="131"/>
      <c r="R80" s="165"/>
      <c r="S80" s="132"/>
      <c r="T80" s="131"/>
      <c r="U80" s="131"/>
      <c r="V80" s="95"/>
      <c r="X80" s="223"/>
      <c r="Y80" s="98"/>
      <c r="Z80" s="97"/>
      <c r="AA80" s="99"/>
    </row>
    <row r="81" spans="1:27" s="96" customFormat="1">
      <c r="A81" s="129"/>
      <c r="B81" s="94"/>
      <c r="C81" s="94"/>
      <c r="D81" s="184"/>
      <c r="E81" s="94"/>
      <c r="F81" s="94"/>
      <c r="G81" s="385"/>
      <c r="H81" s="386"/>
      <c r="I81" s="201"/>
      <c r="J81" s="201"/>
      <c r="K81" s="386"/>
      <c r="L81" s="201"/>
      <c r="M81" s="388"/>
      <c r="N81" s="37"/>
      <c r="O81" s="389"/>
      <c r="P81" s="94"/>
      <c r="Q81" s="131"/>
      <c r="R81" s="165"/>
      <c r="S81" s="132"/>
      <c r="T81" s="131"/>
      <c r="U81" s="131"/>
      <c r="V81" s="95"/>
      <c r="X81" s="223"/>
      <c r="Y81" s="98"/>
      <c r="Z81" s="97"/>
      <c r="AA81" s="99"/>
    </row>
    <row r="82" spans="1:27" s="96" customFormat="1">
      <c r="A82" s="129"/>
      <c r="B82" s="94"/>
      <c r="C82" s="94"/>
      <c r="D82" s="184"/>
      <c r="E82" s="94"/>
      <c r="F82" s="94"/>
      <c r="G82" s="385"/>
      <c r="H82" s="386"/>
      <c r="I82" s="201"/>
      <c r="J82" s="201"/>
      <c r="K82" s="386"/>
      <c r="L82" s="201"/>
      <c r="M82" s="388"/>
      <c r="N82" s="37"/>
      <c r="O82" s="389"/>
      <c r="P82" s="94"/>
      <c r="Q82" s="131"/>
      <c r="R82" s="165"/>
      <c r="S82" s="132"/>
      <c r="T82" s="131"/>
      <c r="U82" s="131"/>
      <c r="V82" s="95"/>
      <c r="X82" s="223"/>
      <c r="Y82" s="98"/>
      <c r="Z82" s="97"/>
      <c r="AA82" s="99"/>
    </row>
    <row r="83" spans="1:27" s="96" customFormat="1" hidden="1">
      <c r="A83" s="129"/>
      <c r="B83" s="94"/>
      <c r="C83" s="94"/>
      <c r="D83" s="184"/>
      <c r="E83" s="94"/>
      <c r="F83" s="94"/>
      <c r="G83" s="385"/>
      <c r="H83" s="386"/>
      <c r="I83" s="201"/>
      <c r="J83" s="201"/>
      <c r="K83" s="386"/>
      <c r="L83" s="201"/>
      <c r="M83" s="388"/>
      <c r="N83" s="37"/>
      <c r="O83" s="389"/>
      <c r="P83" s="94"/>
      <c r="Q83" s="131"/>
      <c r="R83" s="165"/>
      <c r="S83" s="132"/>
      <c r="T83" s="201"/>
      <c r="U83" s="201"/>
      <c r="V83" s="95"/>
      <c r="X83" s="223"/>
      <c r="Y83" s="98"/>
      <c r="Z83" s="97"/>
      <c r="AA83" s="99"/>
    </row>
    <row r="84" spans="1:27" s="96" customFormat="1" hidden="1">
      <c r="A84" s="129"/>
      <c r="B84" s="94"/>
      <c r="C84" s="94"/>
      <c r="D84" s="184"/>
      <c r="E84" s="94"/>
      <c r="F84" s="94"/>
      <c r="G84" s="385"/>
      <c r="H84" s="386"/>
      <c r="I84" s="201"/>
      <c r="J84" s="201"/>
      <c r="K84" s="386"/>
      <c r="L84" s="201"/>
      <c r="M84" s="388"/>
      <c r="N84" s="37"/>
      <c r="O84" s="389"/>
      <c r="P84" s="94"/>
      <c r="Q84" s="131"/>
      <c r="R84" s="165"/>
      <c r="S84" s="132"/>
      <c r="T84" s="201"/>
      <c r="U84" s="201"/>
      <c r="V84" s="95"/>
      <c r="X84" s="223"/>
      <c r="Y84" s="98"/>
      <c r="Z84" s="97"/>
      <c r="AA84" s="99"/>
    </row>
    <row r="85" spans="1:27" s="96" customFormat="1" hidden="1">
      <c r="A85" s="129"/>
      <c r="B85" s="94"/>
      <c r="C85" s="94"/>
      <c r="D85" s="184"/>
      <c r="E85" s="94"/>
      <c r="F85" s="94"/>
      <c r="G85" s="385"/>
      <c r="H85" s="386"/>
      <c r="I85" s="201"/>
      <c r="J85" s="201"/>
      <c r="K85" s="386"/>
      <c r="L85" s="201"/>
      <c r="M85" s="388"/>
      <c r="N85" s="37"/>
      <c r="O85" s="389"/>
      <c r="P85" s="94"/>
      <c r="Q85" s="131"/>
      <c r="R85" s="165"/>
      <c r="S85" s="132"/>
      <c r="T85" s="201"/>
      <c r="U85" s="201"/>
      <c r="V85" s="95"/>
      <c r="X85" s="223"/>
      <c r="Y85" s="98"/>
      <c r="Z85" s="97"/>
      <c r="AA85" s="99"/>
    </row>
    <row r="86" spans="1:27" s="96" customFormat="1" hidden="1">
      <c r="A86" s="129"/>
      <c r="B86" s="94"/>
      <c r="C86" s="94"/>
      <c r="D86" s="184"/>
      <c r="E86" s="94"/>
      <c r="F86" s="94"/>
      <c r="G86" s="385"/>
      <c r="H86" s="386"/>
      <c r="I86" s="201"/>
      <c r="J86" s="201"/>
      <c r="K86" s="386"/>
      <c r="L86" s="201"/>
      <c r="M86" s="388"/>
      <c r="N86" s="37"/>
      <c r="O86" s="389"/>
      <c r="P86" s="94"/>
      <c r="Q86" s="131"/>
      <c r="R86" s="165"/>
      <c r="S86" s="132"/>
      <c r="T86" s="201"/>
      <c r="U86" s="201"/>
      <c r="V86" s="95"/>
      <c r="X86" s="223"/>
      <c r="Y86" s="98"/>
      <c r="Z86" s="97"/>
      <c r="AA86" s="99"/>
    </row>
    <row r="87" spans="1:27" s="96" customFormat="1" hidden="1">
      <c r="A87" s="129"/>
      <c r="B87" s="94"/>
      <c r="C87" s="94"/>
      <c r="D87" s="184"/>
      <c r="E87" s="94"/>
      <c r="F87" s="94"/>
      <c r="G87" s="385"/>
      <c r="H87" s="386"/>
      <c r="I87" s="201"/>
      <c r="J87" s="201"/>
      <c r="K87" s="386"/>
      <c r="L87" s="201"/>
      <c r="M87" s="388"/>
      <c r="N87" s="37"/>
      <c r="O87" s="389"/>
      <c r="P87" s="94"/>
      <c r="Q87" s="131"/>
      <c r="R87" s="165"/>
      <c r="S87" s="132"/>
      <c r="T87" s="201"/>
      <c r="U87" s="201"/>
      <c r="V87" s="95"/>
      <c r="X87" s="223"/>
      <c r="Y87" s="98"/>
      <c r="Z87" s="97"/>
      <c r="AA87" s="99"/>
    </row>
    <row r="88" spans="1:27" s="96" customFormat="1" hidden="1">
      <c r="A88" s="129"/>
      <c r="B88" s="94"/>
      <c r="C88" s="94"/>
      <c r="D88" s="184"/>
      <c r="E88" s="94"/>
      <c r="F88" s="94"/>
      <c r="G88" s="385"/>
      <c r="H88" s="399"/>
      <c r="I88" s="201"/>
      <c r="J88" s="201"/>
      <c r="K88" s="399"/>
      <c r="L88" s="201"/>
      <c r="M88" s="388"/>
      <c r="N88" s="37"/>
      <c r="O88" s="389"/>
      <c r="P88" s="94"/>
      <c r="Q88" s="131"/>
      <c r="R88" s="165"/>
      <c r="S88" s="132"/>
      <c r="T88" s="201"/>
      <c r="U88" s="201"/>
      <c r="V88" s="95"/>
      <c r="X88" s="223"/>
      <c r="Y88" s="98"/>
      <c r="Z88" s="97"/>
      <c r="AA88" s="99"/>
    </row>
    <row r="89" spans="1:27" s="96" customFormat="1" hidden="1">
      <c r="A89" s="129"/>
      <c r="B89" s="94"/>
      <c r="C89" s="94"/>
      <c r="D89" s="184"/>
      <c r="E89" s="94"/>
      <c r="F89" s="94"/>
      <c r="G89" s="385"/>
      <c r="H89" s="386"/>
      <c r="I89" s="201"/>
      <c r="J89" s="201"/>
      <c r="K89" s="386"/>
      <c r="L89" s="201"/>
      <c r="M89" s="388"/>
      <c r="N89" s="37"/>
      <c r="O89" s="389"/>
      <c r="P89" s="94"/>
      <c r="Q89" s="131"/>
      <c r="R89" s="165"/>
      <c r="S89" s="132"/>
      <c r="T89" s="201"/>
      <c r="U89" s="201"/>
      <c r="V89" s="95"/>
      <c r="X89" s="223"/>
      <c r="Y89" s="98"/>
      <c r="Z89" s="97"/>
      <c r="AA89" s="99"/>
    </row>
    <row r="90" spans="1:27" s="96" customFormat="1" hidden="1">
      <c r="A90" s="129"/>
      <c r="B90" s="94"/>
      <c r="C90" s="94"/>
      <c r="D90" s="184"/>
      <c r="E90" s="94"/>
      <c r="F90" s="94"/>
      <c r="G90" s="385"/>
      <c r="H90" s="386"/>
      <c r="I90" s="201"/>
      <c r="J90" s="201"/>
      <c r="K90" s="386"/>
      <c r="L90" s="201"/>
      <c r="M90" s="388"/>
      <c r="N90" s="37"/>
      <c r="O90" s="389"/>
      <c r="P90" s="94"/>
      <c r="Q90" s="131"/>
      <c r="R90" s="165"/>
      <c r="S90" s="132"/>
      <c r="T90" s="201"/>
      <c r="U90" s="201"/>
      <c r="V90" s="95"/>
      <c r="X90" s="223"/>
      <c r="Y90" s="98"/>
      <c r="Z90" s="97"/>
      <c r="AA90" s="99"/>
    </row>
    <row r="91" spans="1:27" s="96" customFormat="1" hidden="1">
      <c r="A91" s="129"/>
      <c r="B91" s="94"/>
      <c r="C91" s="94"/>
      <c r="D91" s="184"/>
      <c r="E91" s="94"/>
      <c r="F91" s="94"/>
      <c r="G91" s="385"/>
      <c r="H91" s="386"/>
      <c r="I91" s="201"/>
      <c r="J91" s="201"/>
      <c r="K91" s="386"/>
      <c r="L91" s="201"/>
      <c r="M91" s="388"/>
      <c r="N91" s="37"/>
      <c r="O91" s="389"/>
      <c r="P91" s="94"/>
      <c r="Q91" s="131"/>
      <c r="R91" s="165"/>
      <c r="S91" s="132"/>
      <c r="T91" s="201"/>
      <c r="U91" s="201"/>
      <c r="V91" s="95"/>
      <c r="X91" s="223"/>
      <c r="Y91" s="98"/>
      <c r="Z91" s="97"/>
      <c r="AA91" s="99"/>
    </row>
    <row r="92" spans="1:27" s="96" customFormat="1" hidden="1">
      <c r="A92" s="129"/>
      <c r="B92" s="94"/>
      <c r="C92" s="94"/>
      <c r="D92" s="184"/>
      <c r="E92" s="94"/>
      <c r="F92" s="94"/>
      <c r="G92" s="385"/>
      <c r="H92" s="386"/>
      <c r="I92" s="201"/>
      <c r="J92" s="201"/>
      <c r="K92" s="386"/>
      <c r="L92" s="201"/>
      <c r="M92" s="388"/>
      <c r="N92" s="37"/>
      <c r="O92" s="389"/>
      <c r="P92" s="94"/>
      <c r="Q92" s="131"/>
      <c r="R92" s="165"/>
      <c r="S92" s="132"/>
      <c r="T92" s="201"/>
      <c r="U92" s="201"/>
      <c r="V92" s="95"/>
      <c r="X92" s="223"/>
      <c r="Y92" s="98"/>
      <c r="Z92" s="97"/>
      <c r="AA92" s="99"/>
    </row>
    <row r="93" spans="1:27" s="96" customFormat="1" hidden="1">
      <c r="A93" s="129"/>
      <c r="B93" s="94"/>
      <c r="C93" s="94"/>
      <c r="D93" s="184"/>
      <c r="E93" s="94"/>
      <c r="F93" s="94"/>
      <c r="G93" s="385"/>
      <c r="H93" s="386"/>
      <c r="I93" s="201"/>
      <c r="J93" s="201"/>
      <c r="K93" s="386"/>
      <c r="L93" s="201"/>
      <c r="M93" s="388"/>
      <c r="N93" s="37"/>
      <c r="O93" s="389"/>
      <c r="P93" s="94"/>
      <c r="Q93" s="131"/>
      <c r="R93" s="165"/>
      <c r="S93" s="132"/>
      <c r="T93" s="201"/>
      <c r="U93" s="201"/>
      <c r="V93" s="95"/>
      <c r="X93" s="223"/>
      <c r="Y93" s="98"/>
      <c r="Z93" s="97"/>
      <c r="AA93" s="99"/>
    </row>
    <row r="94" spans="1:27" s="96" customFormat="1" hidden="1">
      <c r="A94" s="129"/>
      <c r="B94" s="94"/>
      <c r="C94" s="94"/>
      <c r="D94" s="184"/>
      <c r="E94" s="94"/>
      <c r="F94" s="94"/>
      <c r="G94" s="385"/>
      <c r="H94" s="386"/>
      <c r="I94" s="201"/>
      <c r="J94" s="201"/>
      <c r="K94" s="386"/>
      <c r="L94" s="201"/>
      <c r="M94" s="388"/>
      <c r="N94" s="37"/>
      <c r="O94" s="389"/>
      <c r="P94" s="94"/>
      <c r="Q94" s="131"/>
      <c r="R94" s="165"/>
      <c r="S94" s="132"/>
      <c r="T94" s="201"/>
      <c r="U94" s="201"/>
      <c r="V94" s="95"/>
      <c r="X94" s="223"/>
      <c r="Y94" s="98"/>
      <c r="Z94" s="97"/>
      <c r="AA94" s="99"/>
    </row>
    <row r="95" spans="1:27" s="96" customFormat="1" hidden="1">
      <c r="A95" s="129"/>
      <c r="B95" s="94"/>
      <c r="C95" s="94"/>
      <c r="D95" s="184"/>
      <c r="E95" s="94"/>
      <c r="F95" s="94"/>
      <c r="G95" s="385"/>
      <c r="H95" s="386"/>
      <c r="I95" s="201"/>
      <c r="J95" s="201"/>
      <c r="K95" s="386"/>
      <c r="L95" s="201"/>
      <c r="M95" s="388"/>
      <c r="N95" s="37"/>
      <c r="O95" s="389"/>
      <c r="P95" s="94"/>
      <c r="Q95" s="131"/>
      <c r="R95" s="165"/>
      <c r="S95" s="132"/>
      <c r="T95" s="201"/>
      <c r="U95" s="201"/>
      <c r="V95" s="95"/>
      <c r="X95" s="223"/>
      <c r="Y95" s="98"/>
      <c r="Z95" s="97"/>
      <c r="AA95" s="99"/>
    </row>
    <row r="96" spans="1:27" s="96" customFormat="1" hidden="1">
      <c r="A96" s="129"/>
      <c r="B96" s="94"/>
      <c r="C96" s="94"/>
      <c r="D96" s="184"/>
      <c r="E96" s="94"/>
      <c r="F96" s="94"/>
      <c r="G96" s="385"/>
      <c r="H96" s="386"/>
      <c r="I96" s="201"/>
      <c r="J96" s="201"/>
      <c r="K96" s="386"/>
      <c r="L96" s="201"/>
      <c r="M96" s="388"/>
      <c r="N96" s="37"/>
      <c r="O96" s="389"/>
      <c r="P96" s="94"/>
      <c r="Q96" s="131"/>
      <c r="R96" s="165"/>
      <c r="S96" s="132"/>
      <c r="T96" s="201"/>
      <c r="U96" s="201"/>
      <c r="V96" s="95"/>
      <c r="X96" s="223"/>
      <c r="Y96" s="98"/>
      <c r="Z96" s="97"/>
      <c r="AA96" s="99"/>
    </row>
    <row r="97" spans="1:27" s="96" customFormat="1" hidden="1">
      <c r="A97" s="129"/>
      <c r="B97" s="94"/>
      <c r="C97" s="94"/>
      <c r="D97" s="184"/>
      <c r="E97" s="94"/>
      <c r="F97" s="94"/>
      <c r="G97" s="385"/>
      <c r="H97" s="386"/>
      <c r="I97" s="201"/>
      <c r="J97" s="201"/>
      <c r="K97" s="386"/>
      <c r="L97" s="201"/>
      <c r="M97" s="388"/>
      <c r="N97" s="37"/>
      <c r="O97" s="389"/>
      <c r="P97" s="94"/>
      <c r="Q97" s="131"/>
      <c r="R97" s="165"/>
      <c r="S97" s="132"/>
      <c r="T97" s="201"/>
      <c r="U97" s="201"/>
      <c r="V97" s="95"/>
      <c r="X97" s="223"/>
      <c r="Y97" s="98"/>
      <c r="Z97" s="97"/>
      <c r="AA97" s="99"/>
    </row>
    <row r="98" spans="1:27" s="96" customFormat="1" hidden="1">
      <c r="A98" s="129"/>
      <c r="B98" s="94"/>
      <c r="C98" s="94"/>
      <c r="D98" s="184"/>
      <c r="E98" s="94"/>
      <c r="F98" s="94"/>
      <c r="G98" s="385"/>
      <c r="H98" s="386"/>
      <c r="I98" s="201"/>
      <c r="J98" s="201"/>
      <c r="K98" s="386"/>
      <c r="L98" s="201"/>
      <c r="M98" s="388"/>
      <c r="N98" s="37"/>
      <c r="O98" s="389"/>
      <c r="P98" s="94"/>
      <c r="Q98" s="131"/>
      <c r="R98" s="165"/>
      <c r="S98" s="132"/>
      <c r="T98" s="201"/>
      <c r="U98" s="201"/>
      <c r="V98" s="95"/>
      <c r="X98" s="223"/>
      <c r="Y98" s="98"/>
      <c r="Z98" s="97"/>
      <c r="AA98" s="99"/>
    </row>
    <row r="99" spans="1:27" s="96" customFormat="1" hidden="1">
      <c r="A99" s="129"/>
      <c r="B99" s="94"/>
      <c r="C99" s="94"/>
      <c r="D99" s="184"/>
      <c r="E99" s="94"/>
      <c r="F99" s="94"/>
      <c r="G99" s="385"/>
      <c r="H99" s="386"/>
      <c r="I99" s="201"/>
      <c r="J99" s="201"/>
      <c r="K99" s="386"/>
      <c r="L99" s="201"/>
      <c r="M99" s="388"/>
      <c r="N99" s="37"/>
      <c r="O99" s="389"/>
      <c r="P99" s="94"/>
      <c r="Q99" s="131"/>
      <c r="R99" s="165"/>
      <c r="S99" s="132"/>
      <c r="T99" s="201"/>
      <c r="U99" s="201"/>
      <c r="V99" s="95"/>
      <c r="X99" s="223"/>
      <c r="Y99" s="98"/>
      <c r="Z99" s="97"/>
      <c r="AA99" s="99"/>
    </row>
    <row r="100" spans="1:27" s="96" customFormat="1" hidden="1">
      <c r="A100" s="129"/>
      <c r="B100" s="94"/>
      <c r="C100" s="94"/>
      <c r="D100" s="184"/>
      <c r="E100" s="94"/>
      <c r="F100" s="94"/>
      <c r="G100" s="385"/>
      <c r="H100" s="386"/>
      <c r="I100" s="201"/>
      <c r="J100" s="201"/>
      <c r="K100" s="386"/>
      <c r="L100" s="201"/>
      <c r="M100" s="388"/>
      <c r="N100" s="37"/>
      <c r="O100" s="389"/>
      <c r="P100" s="94"/>
      <c r="Q100" s="131"/>
      <c r="R100" s="165"/>
      <c r="S100" s="132"/>
      <c r="T100" s="201"/>
      <c r="U100" s="201"/>
      <c r="V100" s="95"/>
      <c r="X100" s="223"/>
      <c r="Y100" s="98"/>
      <c r="Z100" s="97"/>
      <c r="AA100" s="99"/>
    </row>
    <row r="101" spans="1:27" s="96" customFormat="1" hidden="1">
      <c r="A101" s="129"/>
      <c r="B101" s="94"/>
      <c r="C101" s="94"/>
      <c r="D101" s="184"/>
      <c r="E101" s="94"/>
      <c r="F101" s="94"/>
      <c r="G101" s="385"/>
      <c r="H101" s="386"/>
      <c r="I101" s="201"/>
      <c r="J101" s="201"/>
      <c r="K101" s="386"/>
      <c r="L101" s="201"/>
      <c r="M101" s="388"/>
      <c r="N101" s="37"/>
      <c r="O101" s="389"/>
      <c r="P101" s="94"/>
      <c r="Q101" s="131"/>
      <c r="R101" s="165"/>
      <c r="S101" s="132"/>
      <c r="T101" s="201"/>
      <c r="U101" s="201"/>
      <c r="V101" s="95"/>
      <c r="X101" s="223"/>
      <c r="Y101" s="98"/>
      <c r="Z101" s="97"/>
      <c r="AA101" s="99"/>
    </row>
    <row r="102" spans="1:27" s="96" customFormat="1" hidden="1">
      <c r="A102" s="129"/>
      <c r="B102" s="94"/>
      <c r="C102" s="94"/>
      <c r="D102" s="184"/>
      <c r="E102" s="94"/>
      <c r="F102" s="94"/>
      <c r="G102" s="385"/>
      <c r="H102" s="386"/>
      <c r="I102" s="201"/>
      <c r="J102" s="201"/>
      <c r="K102" s="386"/>
      <c r="L102" s="201"/>
      <c r="M102" s="388"/>
      <c r="N102" s="37"/>
      <c r="O102" s="389"/>
      <c r="P102" s="94"/>
      <c r="Q102" s="131"/>
      <c r="R102" s="165"/>
      <c r="S102" s="132"/>
      <c r="T102" s="201"/>
      <c r="U102" s="201"/>
      <c r="V102" s="95"/>
      <c r="X102" s="223"/>
      <c r="Y102" s="98"/>
      <c r="Z102" s="97"/>
      <c r="AA102" s="99"/>
    </row>
    <row r="103" spans="1:27" s="96" customFormat="1">
      <c r="A103" s="129"/>
      <c r="B103" s="94"/>
      <c r="C103" s="94"/>
      <c r="D103" s="184"/>
      <c r="E103" s="94"/>
      <c r="F103" s="94"/>
      <c r="G103" s="385"/>
      <c r="H103" s="386"/>
      <c r="I103" s="201"/>
      <c r="J103" s="201"/>
      <c r="K103" s="386"/>
      <c r="L103" s="201"/>
      <c r="M103" s="388"/>
      <c r="N103" s="37"/>
      <c r="O103" s="389"/>
      <c r="P103" s="94"/>
      <c r="Q103" s="131"/>
      <c r="R103" s="165"/>
      <c r="S103" s="132"/>
      <c r="T103" s="131"/>
      <c r="U103" s="131"/>
      <c r="V103" s="95"/>
      <c r="X103" s="223"/>
      <c r="Y103" s="98"/>
      <c r="Z103" s="97"/>
      <c r="AA103" s="99"/>
    </row>
    <row r="104" spans="1:27" s="96" customFormat="1">
      <c r="A104" s="129"/>
      <c r="B104" s="94"/>
      <c r="C104" s="94"/>
      <c r="D104" s="184"/>
      <c r="E104" s="94"/>
      <c r="F104" s="94"/>
      <c r="G104" s="385"/>
      <c r="H104" s="386"/>
      <c r="I104" s="201"/>
      <c r="J104" s="201"/>
      <c r="K104" s="386"/>
      <c r="L104" s="201"/>
      <c r="M104" s="388"/>
      <c r="N104" s="37"/>
      <c r="O104" s="389"/>
      <c r="P104" s="94"/>
      <c r="Q104" s="131"/>
      <c r="R104" s="165"/>
      <c r="S104" s="132"/>
      <c r="T104" s="131"/>
      <c r="U104" s="131"/>
      <c r="V104" s="95"/>
      <c r="X104" s="223"/>
      <c r="Y104" s="98"/>
      <c r="Z104" s="97"/>
      <c r="AA104" s="99"/>
    </row>
    <row r="105" spans="1:27" s="96" customFormat="1" hidden="1">
      <c r="A105" s="129"/>
      <c r="B105" s="94"/>
      <c r="C105" s="94"/>
      <c r="D105" s="184"/>
      <c r="E105" s="94"/>
      <c r="F105" s="94"/>
      <c r="G105" s="385"/>
      <c r="H105" s="386"/>
      <c r="I105" s="201"/>
      <c r="J105" s="201"/>
      <c r="K105" s="386"/>
      <c r="L105" s="386"/>
      <c r="M105" s="388"/>
      <c r="N105" s="37"/>
      <c r="O105" s="389"/>
      <c r="P105" s="94"/>
      <c r="Q105" s="131"/>
      <c r="R105" s="165"/>
      <c r="S105" s="132"/>
      <c r="T105" s="201"/>
      <c r="U105" s="201"/>
      <c r="V105" s="95"/>
      <c r="X105" s="223"/>
      <c r="Y105" s="98"/>
      <c r="Z105" s="97"/>
      <c r="AA105" s="99"/>
    </row>
    <row r="106" spans="1:27" s="96" customFormat="1" hidden="1">
      <c r="A106" s="129"/>
      <c r="B106" s="94"/>
      <c r="C106" s="94"/>
      <c r="D106" s="184"/>
      <c r="E106" s="94"/>
      <c r="F106" s="94"/>
      <c r="G106" s="385"/>
      <c r="H106" s="386"/>
      <c r="I106" s="201"/>
      <c r="J106" s="201"/>
      <c r="K106" s="386"/>
      <c r="L106" s="386"/>
      <c r="M106" s="388"/>
      <c r="N106" s="37"/>
      <c r="O106" s="389"/>
      <c r="P106" s="94"/>
      <c r="Q106" s="131"/>
      <c r="R106" s="165"/>
      <c r="S106" s="132"/>
      <c r="T106" s="201"/>
      <c r="U106" s="201"/>
      <c r="V106" s="95"/>
      <c r="X106" s="223"/>
      <c r="Y106" s="98"/>
      <c r="Z106" s="97"/>
      <c r="AA106" s="99"/>
    </row>
    <row r="107" spans="1:27" s="96" customFormat="1" hidden="1">
      <c r="A107" s="129"/>
      <c r="B107" s="94"/>
      <c r="C107" s="94"/>
      <c r="D107" s="184"/>
      <c r="E107" s="94"/>
      <c r="F107" s="94"/>
      <c r="G107" s="385"/>
      <c r="H107" s="386"/>
      <c r="I107" s="201"/>
      <c r="J107" s="201"/>
      <c r="K107" s="386"/>
      <c r="L107" s="386"/>
      <c r="M107" s="388"/>
      <c r="N107" s="37"/>
      <c r="O107" s="389"/>
      <c r="P107" s="94"/>
      <c r="Q107" s="131"/>
      <c r="R107" s="165"/>
      <c r="S107" s="132"/>
      <c r="T107" s="201"/>
      <c r="U107" s="201"/>
      <c r="V107" s="95"/>
      <c r="X107" s="223"/>
      <c r="Y107" s="98"/>
      <c r="Z107" s="97"/>
      <c r="AA107" s="99"/>
    </row>
    <row r="108" spans="1:27" s="96" customFormat="1" hidden="1">
      <c r="A108" s="129"/>
      <c r="B108" s="94"/>
      <c r="C108" s="94"/>
      <c r="D108" s="184"/>
      <c r="E108" s="94"/>
      <c r="F108" s="94"/>
      <c r="G108" s="385"/>
      <c r="H108" s="386"/>
      <c r="I108" s="201"/>
      <c r="J108" s="201"/>
      <c r="K108" s="386"/>
      <c r="L108" s="386"/>
      <c r="M108" s="388"/>
      <c r="N108" s="37"/>
      <c r="O108" s="389"/>
      <c r="P108" s="94"/>
      <c r="Q108" s="131"/>
      <c r="R108" s="165"/>
      <c r="S108" s="132"/>
      <c r="T108" s="201"/>
      <c r="U108" s="201"/>
      <c r="V108" s="95"/>
      <c r="X108" s="223"/>
      <c r="Y108" s="98"/>
      <c r="Z108" s="97"/>
      <c r="AA108" s="99"/>
    </row>
    <row r="109" spans="1:27" s="96" customFormat="1" hidden="1">
      <c r="A109" s="129"/>
      <c r="B109" s="94"/>
      <c r="C109" s="94"/>
      <c r="D109" s="184"/>
      <c r="E109" s="94"/>
      <c r="F109" s="94"/>
      <c r="G109" s="385"/>
      <c r="H109" s="386"/>
      <c r="I109" s="201"/>
      <c r="J109" s="201"/>
      <c r="K109" s="386"/>
      <c r="L109" s="386"/>
      <c r="M109" s="388"/>
      <c r="N109" s="37"/>
      <c r="O109" s="389"/>
      <c r="P109" s="94"/>
      <c r="Q109" s="131"/>
      <c r="R109" s="165"/>
      <c r="S109" s="132"/>
      <c r="T109" s="201"/>
      <c r="U109" s="201"/>
      <c r="V109" s="95"/>
      <c r="X109" s="223"/>
      <c r="Y109" s="98"/>
      <c r="Z109" s="97"/>
      <c r="AA109" s="99"/>
    </row>
    <row r="110" spans="1:27" s="96" customFormat="1" hidden="1">
      <c r="A110" s="129"/>
      <c r="B110" s="94"/>
      <c r="C110" s="94"/>
      <c r="D110" s="184"/>
      <c r="E110" s="94"/>
      <c r="F110" s="94"/>
      <c r="G110" s="385"/>
      <c r="H110" s="386"/>
      <c r="I110" s="201"/>
      <c r="J110" s="201"/>
      <c r="K110" s="386"/>
      <c r="L110" s="386"/>
      <c r="M110" s="388"/>
      <c r="N110" s="37"/>
      <c r="O110" s="389"/>
      <c r="P110" s="94"/>
      <c r="Q110" s="131"/>
      <c r="R110" s="165"/>
      <c r="S110" s="132"/>
      <c r="T110" s="201"/>
      <c r="U110" s="201"/>
      <c r="V110" s="95"/>
      <c r="X110" s="223"/>
      <c r="Y110" s="98"/>
      <c r="Z110" s="97"/>
      <c r="AA110" s="99"/>
    </row>
    <row r="111" spans="1:27" s="96" customFormat="1" hidden="1">
      <c r="A111" s="129"/>
      <c r="B111" s="94"/>
      <c r="C111" s="94"/>
      <c r="D111" s="184"/>
      <c r="E111" s="94"/>
      <c r="F111" s="94"/>
      <c r="G111" s="385"/>
      <c r="H111" s="386"/>
      <c r="I111" s="201"/>
      <c r="J111" s="201"/>
      <c r="K111" s="386"/>
      <c r="L111" s="386"/>
      <c r="M111" s="388"/>
      <c r="N111" s="37"/>
      <c r="O111" s="389"/>
      <c r="P111" s="94"/>
      <c r="Q111" s="131"/>
      <c r="R111" s="165"/>
      <c r="S111" s="132"/>
      <c r="T111" s="201"/>
      <c r="U111" s="201"/>
      <c r="V111" s="95"/>
      <c r="X111" s="223"/>
      <c r="Y111" s="98"/>
      <c r="Z111" s="97"/>
      <c r="AA111" s="99"/>
    </row>
    <row r="112" spans="1:27" s="96" customFormat="1" hidden="1">
      <c r="A112" s="129"/>
      <c r="B112" s="94"/>
      <c r="C112" s="94"/>
      <c r="D112" s="184"/>
      <c r="E112" s="94"/>
      <c r="F112" s="94"/>
      <c r="G112" s="385"/>
      <c r="H112" s="386"/>
      <c r="I112" s="201"/>
      <c r="J112" s="201"/>
      <c r="K112" s="386"/>
      <c r="L112" s="386"/>
      <c r="M112" s="388"/>
      <c r="N112" s="37"/>
      <c r="O112" s="389"/>
      <c r="P112" s="94"/>
      <c r="Q112" s="131"/>
      <c r="R112" s="165"/>
      <c r="S112" s="132"/>
      <c r="T112" s="201"/>
      <c r="U112" s="201"/>
      <c r="V112" s="95"/>
      <c r="X112" s="223"/>
      <c r="Y112" s="98"/>
      <c r="Z112" s="97"/>
      <c r="AA112" s="99"/>
    </row>
    <row r="113" spans="1:27" s="96" customFormat="1" hidden="1">
      <c r="A113" s="129"/>
      <c r="B113" s="94"/>
      <c r="C113" s="94"/>
      <c r="D113" s="184"/>
      <c r="E113" s="94"/>
      <c r="F113" s="94"/>
      <c r="G113" s="385"/>
      <c r="H113" s="386"/>
      <c r="I113" s="201"/>
      <c r="J113" s="201"/>
      <c r="K113" s="386"/>
      <c r="L113" s="386"/>
      <c r="M113" s="388"/>
      <c r="N113" s="37"/>
      <c r="O113" s="389"/>
      <c r="P113" s="94"/>
      <c r="Q113" s="131"/>
      <c r="R113" s="165"/>
      <c r="S113" s="132"/>
      <c r="T113" s="201"/>
      <c r="U113" s="201"/>
      <c r="V113" s="95"/>
      <c r="X113" s="223"/>
      <c r="Y113" s="98"/>
      <c r="Z113" s="97"/>
      <c r="AA113" s="99"/>
    </row>
    <row r="114" spans="1:27" s="96" customFormat="1" hidden="1">
      <c r="A114" s="129"/>
      <c r="B114" s="94"/>
      <c r="C114" s="94"/>
      <c r="D114" s="184"/>
      <c r="E114" s="94"/>
      <c r="F114" s="94"/>
      <c r="G114" s="385"/>
      <c r="H114" s="386"/>
      <c r="I114" s="201"/>
      <c r="J114" s="201"/>
      <c r="K114" s="386"/>
      <c r="L114" s="386"/>
      <c r="M114" s="388"/>
      <c r="N114" s="37"/>
      <c r="O114" s="389"/>
      <c r="P114" s="94"/>
      <c r="Q114" s="131"/>
      <c r="R114" s="165"/>
      <c r="S114" s="132"/>
      <c r="T114" s="201"/>
      <c r="U114" s="201"/>
      <c r="V114" s="95"/>
      <c r="X114" s="223"/>
      <c r="Y114" s="98"/>
      <c r="Z114" s="97"/>
      <c r="AA114" s="99"/>
    </row>
    <row r="115" spans="1:27" s="96" customFormat="1" hidden="1">
      <c r="A115" s="129"/>
      <c r="B115" s="94"/>
      <c r="C115" s="94"/>
      <c r="D115" s="184"/>
      <c r="E115" s="94"/>
      <c r="F115" s="94"/>
      <c r="G115" s="385"/>
      <c r="H115" s="386"/>
      <c r="I115" s="201"/>
      <c r="J115" s="201"/>
      <c r="K115" s="386"/>
      <c r="L115" s="386"/>
      <c r="M115" s="388"/>
      <c r="N115" s="37"/>
      <c r="O115" s="389"/>
      <c r="P115" s="94"/>
      <c r="Q115" s="131"/>
      <c r="R115" s="165"/>
      <c r="S115" s="132"/>
      <c r="T115" s="201"/>
      <c r="U115" s="201"/>
      <c r="V115" s="95"/>
      <c r="X115" s="223"/>
      <c r="Y115" s="98"/>
      <c r="Z115" s="97"/>
      <c r="AA115" s="99"/>
    </row>
    <row r="116" spans="1:27" s="96" customFormat="1" hidden="1">
      <c r="A116" s="129"/>
      <c r="B116" s="94"/>
      <c r="C116" s="94"/>
      <c r="D116" s="184"/>
      <c r="E116" s="94"/>
      <c r="F116" s="94"/>
      <c r="G116" s="385"/>
      <c r="H116" s="386"/>
      <c r="I116" s="201"/>
      <c r="J116" s="201"/>
      <c r="K116" s="386"/>
      <c r="L116" s="386"/>
      <c r="M116" s="388"/>
      <c r="N116" s="37"/>
      <c r="O116" s="389"/>
      <c r="P116" s="94"/>
      <c r="Q116" s="131"/>
      <c r="R116" s="165"/>
      <c r="S116" s="132"/>
      <c r="T116" s="201"/>
      <c r="U116" s="201"/>
      <c r="V116" s="95"/>
      <c r="X116" s="223"/>
      <c r="Y116" s="98"/>
      <c r="Z116" s="97"/>
      <c r="AA116" s="99"/>
    </row>
    <row r="117" spans="1:27" s="96" customFormat="1" hidden="1">
      <c r="A117" s="129"/>
      <c r="B117" s="94"/>
      <c r="C117" s="94"/>
      <c r="D117" s="184"/>
      <c r="E117" s="94"/>
      <c r="F117" s="94"/>
      <c r="G117" s="385"/>
      <c r="H117" s="386"/>
      <c r="I117" s="201"/>
      <c r="J117" s="201"/>
      <c r="K117" s="386"/>
      <c r="L117" s="386"/>
      <c r="M117" s="388"/>
      <c r="N117" s="37"/>
      <c r="O117" s="389"/>
      <c r="P117" s="94"/>
      <c r="Q117" s="131"/>
      <c r="R117" s="165"/>
      <c r="S117" s="132"/>
      <c r="T117" s="201"/>
      <c r="U117" s="201"/>
      <c r="V117" s="95"/>
      <c r="X117" s="223"/>
      <c r="Y117" s="98"/>
      <c r="Z117" s="97"/>
      <c r="AA117" s="99"/>
    </row>
    <row r="118" spans="1:27" s="96" customFormat="1" hidden="1">
      <c r="A118" s="129"/>
      <c r="B118" s="94"/>
      <c r="C118" s="94"/>
      <c r="D118" s="184"/>
      <c r="E118" s="94"/>
      <c r="F118" s="94"/>
      <c r="G118" s="385"/>
      <c r="H118" s="386"/>
      <c r="I118" s="201"/>
      <c r="J118" s="201"/>
      <c r="K118" s="386"/>
      <c r="L118" s="386"/>
      <c r="M118" s="388"/>
      <c r="N118" s="37"/>
      <c r="O118" s="389"/>
      <c r="P118" s="94"/>
      <c r="Q118" s="131"/>
      <c r="R118" s="165"/>
      <c r="S118" s="132"/>
      <c r="T118" s="201"/>
      <c r="U118" s="201"/>
      <c r="V118" s="95"/>
      <c r="X118" s="223"/>
      <c r="Y118" s="98"/>
      <c r="Z118" s="97"/>
      <c r="AA118" s="99"/>
    </row>
    <row r="119" spans="1:27" s="96" customFormat="1" hidden="1">
      <c r="A119" s="129"/>
      <c r="B119" s="94"/>
      <c r="C119" s="94"/>
      <c r="D119" s="184"/>
      <c r="E119" s="94"/>
      <c r="F119" s="94"/>
      <c r="G119" s="385"/>
      <c r="H119" s="386"/>
      <c r="I119" s="201"/>
      <c r="J119" s="201"/>
      <c r="K119" s="386"/>
      <c r="L119" s="386"/>
      <c r="M119" s="388"/>
      <c r="N119" s="37"/>
      <c r="O119" s="389"/>
      <c r="P119" s="94"/>
      <c r="Q119" s="131"/>
      <c r="R119" s="165"/>
      <c r="S119" s="132"/>
      <c r="T119" s="201"/>
      <c r="U119" s="201"/>
      <c r="V119" s="95"/>
      <c r="X119" s="223"/>
      <c r="Y119" s="98"/>
      <c r="Z119" s="97"/>
      <c r="AA119" s="99"/>
    </row>
    <row r="120" spans="1:27" s="96" customFormat="1" hidden="1">
      <c r="A120" s="129"/>
      <c r="B120" s="94"/>
      <c r="C120" s="94"/>
      <c r="D120" s="184"/>
      <c r="E120" s="94"/>
      <c r="F120" s="94"/>
      <c r="G120" s="385"/>
      <c r="H120" s="386"/>
      <c r="I120" s="201"/>
      <c r="J120" s="201"/>
      <c r="K120" s="386"/>
      <c r="L120" s="386"/>
      <c r="M120" s="388"/>
      <c r="N120" s="37"/>
      <c r="O120" s="389"/>
      <c r="P120" s="94"/>
      <c r="Q120" s="131"/>
      <c r="R120" s="165"/>
      <c r="S120" s="132"/>
      <c r="T120" s="201"/>
      <c r="U120" s="201"/>
      <c r="V120" s="95"/>
      <c r="X120" s="223"/>
      <c r="Y120" s="98"/>
      <c r="Z120" s="97"/>
      <c r="AA120" s="99"/>
    </row>
    <row r="121" spans="1:27" s="96" customFormat="1" hidden="1">
      <c r="A121" s="129"/>
      <c r="B121" s="94"/>
      <c r="C121" s="94"/>
      <c r="D121" s="184"/>
      <c r="E121" s="94"/>
      <c r="F121" s="94"/>
      <c r="G121" s="385"/>
      <c r="H121" s="386"/>
      <c r="I121" s="201"/>
      <c r="J121" s="201"/>
      <c r="K121" s="386"/>
      <c r="L121" s="386"/>
      <c r="M121" s="388"/>
      <c r="N121" s="37"/>
      <c r="O121" s="389"/>
      <c r="P121" s="94"/>
      <c r="Q121" s="131"/>
      <c r="R121" s="165"/>
      <c r="S121" s="132"/>
      <c r="T121" s="201"/>
      <c r="U121" s="201"/>
      <c r="V121" s="95"/>
      <c r="X121" s="223"/>
      <c r="Y121" s="98"/>
      <c r="Z121" s="97"/>
      <c r="AA121" s="99"/>
    </row>
    <row r="122" spans="1:27" s="96" customFormat="1" hidden="1">
      <c r="A122" s="129"/>
      <c r="B122" s="94"/>
      <c r="C122" s="94"/>
      <c r="D122" s="184"/>
      <c r="E122" s="94"/>
      <c r="F122" s="94"/>
      <c r="G122" s="385"/>
      <c r="H122" s="386"/>
      <c r="I122" s="201"/>
      <c r="J122" s="201"/>
      <c r="K122" s="386"/>
      <c r="L122" s="386"/>
      <c r="M122" s="388"/>
      <c r="N122" s="37"/>
      <c r="O122" s="389"/>
      <c r="P122" s="94"/>
      <c r="Q122" s="131"/>
      <c r="R122" s="165"/>
      <c r="S122" s="132"/>
      <c r="T122" s="201"/>
      <c r="U122" s="201"/>
      <c r="V122" s="95"/>
      <c r="X122" s="223"/>
      <c r="Y122" s="98"/>
      <c r="Z122" s="97"/>
      <c r="AA122" s="99"/>
    </row>
    <row r="123" spans="1:27" s="96" customFormat="1" hidden="1">
      <c r="A123" s="129"/>
      <c r="B123" s="94"/>
      <c r="C123" s="94"/>
      <c r="D123" s="184"/>
      <c r="E123" s="94"/>
      <c r="F123" s="94"/>
      <c r="G123" s="385"/>
      <c r="H123" s="386"/>
      <c r="I123" s="201"/>
      <c r="J123" s="201"/>
      <c r="K123" s="386"/>
      <c r="L123" s="386"/>
      <c r="M123" s="388"/>
      <c r="N123" s="37"/>
      <c r="O123" s="389"/>
      <c r="P123" s="94"/>
      <c r="Q123" s="131"/>
      <c r="R123" s="165"/>
      <c r="S123" s="132"/>
      <c r="T123" s="201"/>
      <c r="U123" s="201"/>
      <c r="V123" s="95"/>
      <c r="X123" s="223"/>
      <c r="Y123" s="98"/>
      <c r="Z123" s="97"/>
      <c r="AA123" s="99"/>
    </row>
    <row r="124" spans="1:27" s="96" customFormat="1" hidden="1">
      <c r="A124" s="129"/>
      <c r="B124" s="94"/>
      <c r="C124" s="94"/>
      <c r="D124" s="184"/>
      <c r="E124" s="94"/>
      <c r="F124" s="94"/>
      <c r="G124" s="385"/>
      <c r="H124" s="386"/>
      <c r="I124" s="201"/>
      <c r="J124" s="201"/>
      <c r="K124" s="386"/>
      <c r="L124" s="386"/>
      <c r="M124" s="388"/>
      <c r="N124" s="37"/>
      <c r="O124" s="389"/>
      <c r="P124" s="94"/>
      <c r="Q124" s="131"/>
      <c r="R124" s="165"/>
      <c r="S124" s="132"/>
      <c r="T124" s="201"/>
      <c r="U124" s="201"/>
      <c r="V124" s="95"/>
      <c r="X124" s="223"/>
      <c r="Y124" s="98"/>
      <c r="Z124" s="97"/>
      <c r="AA124" s="99"/>
    </row>
    <row r="125" spans="1:27" s="96" customFormat="1" hidden="1">
      <c r="A125" s="129"/>
      <c r="B125" s="94"/>
      <c r="C125" s="94"/>
      <c r="D125" s="184"/>
      <c r="E125" s="94"/>
      <c r="F125" s="94"/>
      <c r="G125" s="385"/>
      <c r="H125" s="386"/>
      <c r="I125" s="201"/>
      <c r="J125" s="201"/>
      <c r="K125" s="386"/>
      <c r="L125" s="386"/>
      <c r="M125" s="388"/>
      <c r="N125" s="37"/>
      <c r="O125" s="389"/>
      <c r="P125" s="94"/>
      <c r="Q125" s="131"/>
      <c r="R125" s="165"/>
      <c r="S125" s="132"/>
      <c r="T125" s="201"/>
      <c r="U125" s="201"/>
      <c r="V125" s="95"/>
      <c r="X125" s="223"/>
      <c r="Y125" s="98"/>
      <c r="Z125" s="97"/>
      <c r="AA125" s="99"/>
    </row>
    <row r="126" spans="1:27" s="96" customFormat="1">
      <c r="A126" s="129"/>
      <c r="B126" s="94"/>
      <c r="C126" s="94"/>
      <c r="D126" s="184"/>
      <c r="E126" s="94"/>
      <c r="F126" s="94"/>
      <c r="G126" s="385"/>
      <c r="H126" s="386"/>
      <c r="I126" s="201"/>
      <c r="J126" s="201"/>
      <c r="K126" s="386"/>
      <c r="L126" s="386"/>
      <c r="M126" s="388"/>
      <c r="N126" s="37"/>
      <c r="O126" s="389"/>
      <c r="P126" s="94"/>
      <c r="Q126" s="131"/>
      <c r="R126" s="165"/>
      <c r="S126" s="132"/>
      <c r="T126" s="201"/>
      <c r="U126" s="201"/>
      <c r="V126" s="95"/>
      <c r="X126" s="223"/>
      <c r="Y126" s="98"/>
      <c r="Z126" s="97"/>
      <c r="AA126" s="99"/>
    </row>
    <row r="127" spans="1:27" s="96" customFormat="1">
      <c r="A127" s="129"/>
      <c r="B127" s="94"/>
      <c r="C127" s="94"/>
      <c r="D127" s="184"/>
      <c r="E127" s="94"/>
      <c r="F127" s="94"/>
      <c r="G127" s="385"/>
      <c r="H127" s="386"/>
      <c r="I127" s="201"/>
      <c r="J127" s="201"/>
      <c r="K127" s="386"/>
      <c r="L127" s="386"/>
      <c r="M127" s="388"/>
      <c r="N127" s="37"/>
      <c r="O127" s="389"/>
      <c r="P127" s="94"/>
      <c r="Q127" s="131"/>
      <c r="R127" s="165"/>
      <c r="S127" s="132"/>
      <c r="T127" s="131"/>
      <c r="U127" s="131"/>
      <c r="V127" s="95"/>
      <c r="X127" s="223"/>
      <c r="Y127" s="98"/>
      <c r="Z127" s="97"/>
      <c r="AA127" s="99"/>
    </row>
    <row r="128" spans="1:27" s="96" customFormat="1">
      <c r="A128" s="129"/>
      <c r="B128" s="94"/>
      <c r="C128" s="94"/>
      <c r="D128" s="184"/>
      <c r="E128" s="94"/>
      <c r="F128" s="94"/>
      <c r="G128" s="385"/>
      <c r="H128" s="386"/>
      <c r="I128" s="201"/>
      <c r="J128" s="201"/>
      <c r="K128" s="386"/>
      <c r="L128" s="386"/>
      <c r="M128" s="388"/>
      <c r="N128" s="37"/>
      <c r="O128" s="389"/>
      <c r="P128" s="94"/>
      <c r="Q128" s="131"/>
      <c r="R128" s="165"/>
      <c r="S128" s="132"/>
      <c r="T128" s="131"/>
      <c r="U128" s="131"/>
      <c r="V128" s="95"/>
      <c r="X128" s="223"/>
      <c r="Y128" s="98"/>
      <c r="Z128" s="97"/>
      <c r="AA128" s="99"/>
    </row>
    <row r="129" spans="1:27" s="96" customFormat="1">
      <c r="A129" s="129"/>
      <c r="B129" s="94"/>
      <c r="C129" s="94"/>
      <c r="D129" s="184"/>
      <c r="E129" s="94"/>
      <c r="F129" s="94"/>
      <c r="G129" s="385"/>
      <c r="H129" s="386"/>
      <c r="I129" s="201"/>
      <c r="J129" s="201"/>
      <c r="K129" s="386"/>
      <c r="L129" s="386"/>
      <c r="M129" s="388"/>
      <c r="N129" s="37"/>
      <c r="O129" s="389"/>
      <c r="P129" s="94"/>
      <c r="Q129" s="131"/>
      <c r="R129" s="165"/>
      <c r="S129" s="132"/>
      <c r="T129" s="131"/>
      <c r="U129" s="131"/>
      <c r="V129" s="95"/>
      <c r="X129" s="223"/>
      <c r="Y129" s="98"/>
      <c r="Z129" s="97"/>
      <c r="AA129" s="99"/>
    </row>
    <row r="130" spans="1:27" s="96" customFormat="1" hidden="1">
      <c r="A130" s="129"/>
      <c r="B130" s="94"/>
      <c r="C130" s="94"/>
      <c r="D130" s="184"/>
      <c r="E130" s="94"/>
      <c r="F130" s="94"/>
      <c r="G130" s="385"/>
      <c r="H130" s="386"/>
      <c r="I130" s="201"/>
      <c r="J130" s="201"/>
      <c r="K130" s="386"/>
      <c r="L130" s="386"/>
      <c r="M130" s="388"/>
      <c r="N130" s="37"/>
      <c r="O130" s="389"/>
      <c r="P130" s="94"/>
      <c r="Q130" s="131"/>
      <c r="R130" s="165"/>
      <c r="S130" s="132"/>
      <c r="T130" s="201"/>
      <c r="U130" s="201"/>
      <c r="V130" s="95"/>
      <c r="X130" s="223"/>
      <c r="Y130" s="98"/>
      <c r="Z130" s="97"/>
      <c r="AA130" s="99"/>
    </row>
    <row r="131" spans="1:27" s="96" customFormat="1" hidden="1">
      <c r="A131" s="129"/>
      <c r="B131" s="94"/>
      <c r="C131" s="94"/>
      <c r="D131" s="184"/>
      <c r="E131" s="94"/>
      <c r="F131" s="94"/>
      <c r="G131" s="385"/>
      <c r="H131" s="386"/>
      <c r="I131" s="201"/>
      <c r="J131" s="201"/>
      <c r="K131" s="386"/>
      <c r="L131" s="386"/>
      <c r="M131" s="388"/>
      <c r="N131" s="37"/>
      <c r="O131" s="389"/>
      <c r="P131" s="94"/>
      <c r="Q131" s="131"/>
      <c r="R131" s="165"/>
      <c r="S131" s="132"/>
      <c r="T131" s="201"/>
      <c r="U131" s="201"/>
      <c r="V131" s="95"/>
      <c r="X131" s="223"/>
      <c r="Y131" s="98"/>
      <c r="Z131" s="97"/>
      <c r="AA131" s="99"/>
    </row>
    <row r="132" spans="1:27" s="96" customFormat="1" hidden="1">
      <c r="A132" s="129"/>
      <c r="B132" s="94"/>
      <c r="C132" s="94"/>
      <c r="D132" s="184"/>
      <c r="E132" s="94"/>
      <c r="F132" s="94"/>
      <c r="G132" s="385"/>
      <c r="H132" s="386"/>
      <c r="I132" s="201"/>
      <c r="J132" s="201"/>
      <c r="K132" s="386"/>
      <c r="L132" s="386"/>
      <c r="M132" s="388"/>
      <c r="N132" s="37"/>
      <c r="O132" s="389"/>
      <c r="P132" s="94"/>
      <c r="Q132" s="131"/>
      <c r="R132" s="165"/>
      <c r="S132" s="132"/>
      <c r="T132" s="201"/>
      <c r="U132" s="201"/>
      <c r="V132" s="95"/>
      <c r="X132" s="223"/>
      <c r="Y132" s="98"/>
      <c r="Z132" s="97"/>
      <c r="AA132" s="99"/>
    </row>
    <row r="133" spans="1:27" s="96" customFormat="1" hidden="1">
      <c r="A133" s="129"/>
      <c r="B133" s="94"/>
      <c r="C133" s="94"/>
      <c r="D133" s="184"/>
      <c r="E133" s="94"/>
      <c r="F133" s="94"/>
      <c r="G133" s="385"/>
      <c r="H133" s="386"/>
      <c r="I133" s="201"/>
      <c r="J133" s="201"/>
      <c r="K133" s="386"/>
      <c r="L133" s="386"/>
      <c r="M133" s="388"/>
      <c r="N133" s="37"/>
      <c r="O133" s="389"/>
      <c r="P133" s="94"/>
      <c r="Q133" s="131"/>
      <c r="R133" s="165"/>
      <c r="S133" s="132"/>
      <c r="T133" s="201"/>
      <c r="U133" s="201"/>
      <c r="V133" s="95"/>
      <c r="X133" s="223"/>
      <c r="Y133" s="98"/>
      <c r="Z133" s="97"/>
      <c r="AA133" s="99"/>
    </row>
    <row r="134" spans="1:27" s="96" customFormat="1" hidden="1">
      <c r="A134" s="129"/>
      <c r="B134" s="94"/>
      <c r="C134" s="94"/>
      <c r="D134" s="184"/>
      <c r="E134" s="94"/>
      <c r="F134" s="94"/>
      <c r="G134" s="385"/>
      <c r="H134" s="386"/>
      <c r="I134" s="201"/>
      <c r="J134" s="201"/>
      <c r="K134" s="386"/>
      <c r="L134" s="386"/>
      <c r="M134" s="388"/>
      <c r="N134" s="37"/>
      <c r="O134" s="389"/>
      <c r="P134" s="94"/>
      <c r="Q134" s="131"/>
      <c r="R134" s="165"/>
      <c r="S134" s="132"/>
      <c r="T134" s="201"/>
      <c r="U134" s="201"/>
      <c r="V134" s="95"/>
      <c r="X134" s="223"/>
      <c r="Y134" s="98"/>
      <c r="Z134" s="97"/>
      <c r="AA134" s="99"/>
    </row>
    <row r="135" spans="1:27" s="96" customFormat="1" hidden="1">
      <c r="A135" s="129"/>
      <c r="B135" s="94"/>
      <c r="C135" s="94"/>
      <c r="D135" s="184"/>
      <c r="E135" s="94"/>
      <c r="F135" s="94"/>
      <c r="G135" s="385"/>
      <c r="H135" s="386"/>
      <c r="I135" s="201"/>
      <c r="J135" s="201"/>
      <c r="K135" s="201"/>
      <c r="L135" s="386"/>
      <c r="M135" s="388"/>
      <c r="N135" s="37"/>
      <c r="O135" s="389"/>
      <c r="P135" s="94"/>
      <c r="Q135" s="131"/>
      <c r="R135" s="165"/>
      <c r="S135" s="132"/>
      <c r="T135" s="201"/>
      <c r="U135" s="201"/>
      <c r="V135" s="95"/>
      <c r="X135" s="223"/>
      <c r="Y135" s="98"/>
      <c r="Z135" s="97"/>
      <c r="AA135" s="99"/>
    </row>
    <row r="136" spans="1:27" s="96" customFormat="1">
      <c r="A136" s="129"/>
      <c r="B136" s="94"/>
      <c r="C136" s="94"/>
      <c r="D136" s="184"/>
      <c r="E136" s="94"/>
      <c r="F136" s="94"/>
      <c r="G136" s="385"/>
      <c r="H136" s="386"/>
      <c r="I136" s="201"/>
      <c r="J136" s="201"/>
      <c r="K136" s="201"/>
      <c r="L136" s="386"/>
      <c r="M136" s="388"/>
      <c r="N136" s="37"/>
      <c r="O136" s="389"/>
      <c r="P136" s="94"/>
      <c r="Q136" s="131"/>
      <c r="R136" s="165"/>
      <c r="S136" s="132"/>
      <c r="T136" s="201"/>
      <c r="U136" s="201"/>
      <c r="V136" s="95"/>
      <c r="X136" s="223"/>
      <c r="Y136" s="98"/>
      <c r="Z136" s="97"/>
      <c r="AA136" s="99"/>
    </row>
    <row r="137" spans="1:27" s="96" customFormat="1" hidden="1">
      <c r="A137" s="129"/>
      <c r="B137" s="94"/>
      <c r="C137" s="94"/>
      <c r="D137" s="184"/>
      <c r="E137" s="94"/>
      <c r="F137" s="94"/>
      <c r="G137" s="385"/>
      <c r="H137" s="386"/>
      <c r="I137" s="201"/>
      <c r="J137" s="201"/>
      <c r="K137" s="386"/>
      <c r="L137" s="386"/>
      <c r="M137" s="388"/>
      <c r="N137" s="37"/>
      <c r="O137" s="389"/>
      <c r="P137" s="94"/>
      <c r="Q137" s="131"/>
      <c r="R137" s="165"/>
      <c r="S137" s="132"/>
      <c r="T137" s="201"/>
      <c r="U137" s="201"/>
      <c r="V137" s="95"/>
      <c r="X137" s="223"/>
      <c r="Y137" s="98"/>
      <c r="Z137" s="97"/>
      <c r="AA137" s="99"/>
    </row>
    <row r="138" spans="1:27" s="96" customFormat="1" hidden="1">
      <c r="A138" s="129"/>
      <c r="B138" s="94"/>
      <c r="C138" s="94"/>
      <c r="D138" s="184"/>
      <c r="E138" s="94"/>
      <c r="F138" s="94"/>
      <c r="G138" s="385"/>
      <c r="H138" s="386"/>
      <c r="I138" s="201"/>
      <c r="J138" s="201"/>
      <c r="K138" s="386"/>
      <c r="L138" s="386"/>
      <c r="M138" s="388"/>
      <c r="N138" s="37"/>
      <c r="O138" s="389"/>
      <c r="P138" s="94"/>
      <c r="Q138" s="131"/>
      <c r="R138" s="165"/>
      <c r="S138" s="132"/>
      <c r="T138" s="201"/>
      <c r="U138" s="201"/>
      <c r="V138" s="95"/>
      <c r="X138" s="223"/>
      <c r="Y138" s="98"/>
      <c r="Z138" s="97"/>
      <c r="AA138" s="99"/>
    </row>
    <row r="139" spans="1:27" s="96" customFormat="1" hidden="1">
      <c r="A139" s="129"/>
      <c r="B139" s="94"/>
      <c r="C139" s="94"/>
      <c r="D139" s="184"/>
      <c r="E139" s="94"/>
      <c r="F139" s="94"/>
      <c r="G139" s="385"/>
      <c r="H139" s="386"/>
      <c r="I139" s="201"/>
      <c r="J139" s="201"/>
      <c r="K139" s="386"/>
      <c r="L139" s="386"/>
      <c r="M139" s="388"/>
      <c r="N139" s="37"/>
      <c r="O139" s="389"/>
      <c r="P139" s="94"/>
      <c r="Q139" s="131"/>
      <c r="R139" s="165"/>
      <c r="S139" s="132"/>
      <c r="T139" s="201"/>
      <c r="U139" s="201"/>
      <c r="V139" s="95"/>
      <c r="X139" s="223"/>
      <c r="Y139" s="98"/>
      <c r="Z139" s="97"/>
      <c r="AA139" s="99"/>
    </row>
    <row r="140" spans="1:27" s="96" customFormat="1" hidden="1">
      <c r="A140" s="129"/>
      <c r="B140" s="94"/>
      <c r="C140" s="94"/>
      <c r="D140" s="184"/>
      <c r="E140" s="94"/>
      <c r="F140" s="94"/>
      <c r="G140" s="385"/>
      <c r="H140" s="386"/>
      <c r="I140" s="201"/>
      <c r="J140" s="201"/>
      <c r="K140" s="386"/>
      <c r="L140" s="386"/>
      <c r="M140" s="388"/>
      <c r="N140" s="37"/>
      <c r="O140" s="389"/>
      <c r="P140" s="94"/>
      <c r="Q140" s="131"/>
      <c r="R140" s="165"/>
      <c r="S140" s="132"/>
      <c r="T140" s="201"/>
      <c r="U140" s="201"/>
      <c r="V140" s="95"/>
      <c r="X140" s="223"/>
      <c r="Y140" s="98"/>
      <c r="Z140" s="97"/>
      <c r="AA140" s="99"/>
    </row>
    <row r="141" spans="1:27" s="96" customFormat="1" hidden="1">
      <c r="A141" s="129"/>
      <c r="B141" s="94"/>
      <c r="C141" s="94"/>
      <c r="D141" s="184"/>
      <c r="E141" s="94"/>
      <c r="F141" s="94"/>
      <c r="G141" s="385"/>
      <c r="H141" s="386"/>
      <c r="I141" s="201"/>
      <c r="J141" s="201"/>
      <c r="K141" s="386"/>
      <c r="L141" s="386"/>
      <c r="M141" s="388"/>
      <c r="N141" s="37"/>
      <c r="O141" s="389"/>
      <c r="P141" s="94"/>
      <c r="Q141" s="131"/>
      <c r="R141" s="165"/>
      <c r="S141" s="132"/>
      <c r="T141" s="201"/>
      <c r="U141" s="201"/>
      <c r="V141" s="95"/>
      <c r="X141" s="223"/>
      <c r="Y141" s="98"/>
      <c r="Z141" s="97"/>
      <c r="AA141" s="99"/>
    </row>
    <row r="142" spans="1:27" s="96" customFormat="1" hidden="1">
      <c r="A142" s="129"/>
      <c r="B142" s="94"/>
      <c r="C142" s="94"/>
      <c r="D142" s="184"/>
      <c r="E142" s="94"/>
      <c r="F142" s="94"/>
      <c r="G142" s="385"/>
      <c r="H142" s="386"/>
      <c r="I142" s="201"/>
      <c r="J142" s="201"/>
      <c r="K142" s="386"/>
      <c r="L142" s="386"/>
      <c r="M142" s="388"/>
      <c r="N142" s="37"/>
      <c r="O142" s="389"/>
      <c r="P142" s="94"/>
      <c r="Q142" s="131"/>
      <c r="R142" s="165"/>
      <c r="S142" s="132"/>
      <c r="T142" s="201"/>
      <c r="U142" s="201"/>
      <c r="V142" s="95"/>
      <c r="X142" s="223"/>
      <c r="Y142" s="98"/>
      <c r="Z142" s="97"/>
      <c r="AA142" s="99"/>
    </row>
    <row r="143" spans="1:27" s="96" customFormat="1" hidden="1">
      <c r="A143" s="129"/>
      <c r="B143" s="94"/>
      <c r="C143" s="94"/>
      <c r="D143" s="184"/>
      <c r="E143" s="94"/>
      <c r="F143" s="94"/>
      <c r="G143" s="385"/>
      <c r="H143" s="386"/>
      <c r="I143" s="201"/>
      <c r="J143" s="201"/>
      <c r="K143" s="386"/>
      <c r="L143" s="386"/>
      <c r="M143" s="388"/>
      <c r="N143" s="37"/>
      <c r="O143" s="389"/>
      <c r="P143" s="94"/>
      <c r="Q143" s="131"/>
      <c r="R143" s="165"/>
      <c r="S143" s="132"/>
      <c r="T143" s="201"/>
      <c r="U143" s="201"/>
      <c r="V143" s="95"/>
      <c r="X143" s="223"/>
      <c r="Y143" s="98"/>
      <c r="Z143" s="97"/>
      <c r="AA143" s="99"/>
    </row>
    <row r="144" spans="1:27" s="96" customFormat="1" hidden="1">
      <c r="A144" s="129"/>
      <c r="B144" s="94"/>
      <c r="C144" s="94"/>
      <c r="D144" s="184"/>
      <c r="E144" s="94"/>
      <c r="F144" s="94"/>
      <c r="G144" s="385"/>
      <c r="H144" s="386"/>
      <c r="I144" s="201"/>
      <c r="J144" s="201"/>
      <c r="K144" s="386"/>
      <c r="L144" s="386"/>
      <c r="M144" s="388"/>
      <c r="N144" s="37"/>
      <c r="O144" s="389"/>
      <c r="P144" s="94"/>
      <c r="Q144" s="131"/>
      <c r="R144" s="165"/>
      <c r="S144" s="132"/>
      <c r="T144" s="201"/>
      <c r="U144" s="201"/>
      <c r="V144" s="95"/>
      <c r="X144" s="223"/>
      <c r="Y144" s="98"/>
      <c r="Z144" s="97"/>
      <c r="AA144" s="99"/>
    </row>
    <row r="145" spans="1:27" s="96" customFormat="1" hidden="1">
      <c r="A145" s="129"/>
      <c r="B145" s="94"/>
      <c r="C145" s="94"/>
      <c r="D145" s="184"/>
      <c r="E145" s="94"/>
      <c r="F145" s="94"/>
      <c r="G145" s="385"/>
      <c r="H145" s="386"/>
      <c r="I145" s="201"/>
      <c r="J145" s="201"/>
      <c r="K145" s="386"/>
      <c r="L145" s="386"/>
      <c r="M145" s="388"/>
      <c r="N145" s="37"/>
      <c r="O145" s="389"/>
      <c r="P145" s="94"/>
      <c r="Q145" s="131"/>
      <c r="R145" s="165"/>
      <c r="S145" s="132"/>
      <c r="T145" s="201"/>
      <c r="U145" s="201"/>
      <c r="V145" s="95"/>
      <c r="X145" s="223"/>
      <c r="Y145" s="98"/>
      <c r="Z145" s="97"/>
      <c r="AA145" s="99"/>
    </row>
    <row r="146" spans="1:27" s="96" customFormat="1" hidden="1">
      <c r="A146" s="129"/>
      <c r="B146" s="94"/>
      <c r="C146" s="94"/>
      <c r="D146" s="184"/>
      <c r="E146" s="94"/>
      <c r="F146" s="94"/>
      <c r="G146" s="385"/>
      <c r="H146" s="386"/>
      <c r="I146" s="201"/>
      <c r="J146" s="201"/>
      <c r="K146" s="386"/>
      <c r="L146" s="386"/>
      <c r="M146" s="388"/>
      <c r="N146" s="37"/>
      <c r="O146" s="389"/>
      <c r="P146" s="94"/>
      <c r="Q146" s="131"/>
      <c r="R146" s="165"/>
      <c r="S146" s="132"/>
      <c r="T146" s="201"/>
      <c r="U146" s="201"/>
      <c r="V146" s="95"/>
      <c r="X146" s="223"/>
      <c r="Y146" s="98"/>
      <c r="Z146" s="97"/>
      <c r="AA146" s="99"/>
    </row>
    <row r="147" spans="1:27" s="96" customFormat="1" hidden="1">
      <c r="A147" s="129"/>
      <c r="B147" s="94"/>
      <c r="C147" s="94"/>
      <c r="D147" s="184"/>
      <c r="E147" s="94"/>
      <c r="F147" s="94"/>
      <c r="G147" s="385"/>
      <c r="H147" s="386"/>
      <c r="I147" s="201"/>
      <c r="J147" s="201"/>
      <c r="K147" s="386"/>
      <c r="L147" s="386"/>
      <c r="M147" s="388"/>
      <c r="N147" s="37"/>
      <c r="O147" s="389"/>
      <c r="P147" s="94"/>
      <c r="Q147" s="131"/>
      <c r="R147" s="165"/>
      <c r="S147" s="132"/>
      <c r="T147" s="201"/>
      <c r="U147" s="201"/>
      <c r="V147" s="95"/>
      <c r="X147" s="223"/>
      <c r="Y147" s="98"/>
      <c r="Z147" s="97"/>
      <c r="AA147" s="99"/>
    </row>
    <row r="148" spans="1:27" s="96" customFormat="1" hidden="1">
      <c r="A148" s="129"/>
      <c r="B148" s="94"/>
      <c r="C148" s="94"/>
      <c r="D148" s="184"/>
      <c r="E148" s="94"/>
      <c r="F148" s="94"/>
      <c r="G148" s="385"/>
      <c r="H148" s="386"/>
      <c r="I148" s="201"/>
      <c r="J148" s="37"/>
      <c r="K148" s="386"/>
      <c r="L148" s="386"/>
      <c r="M148" s="388"/>
      <c r="N148" s="37"/>
      <c r="O148" s="389"/>
      <c r="P148" s="94"/>
      <c r="Q148" s="131"/>
      <c r="R148" s="165"/>
      <c r="S148" s="132"/>
      <c r="T148" s="201"/>
      <c r="U148" s="201"/>
      <c r="V148" s="95"/>
      <c r="X148" s="223"/>
      <c r="Y148" s="98"/>
      <c r="Z148" s="97"/>
      <c r="AA148" s="99"/>
    </row>
    <row r="149" spans="1:27" s="96" customFormat="1" hidden="1">
      <c r="A149" s="129"/>
      <c r="B149" s="94"/>
      <c r="C149" s="94"/>
      <c r="D149" s="184"/>
      <c r="E149" s="94"/>
      <c r="F149" s="94"/>
      <c r="G149" s="385"/>
      <c r="H149" s="386"/>
      <c r="I149" s="131"/>
      <c r="J149" s="201"/>
      <c r="K149" s="386"/>
      <c r="L149" s="386"/>
      <c r="M149" s="388"/>
      <c r="N149" s="37"/>
      <c r="O149" s="389"/>
      <c r="P149" s="94"/>
      <c r="Q149" s="131"/>
      <c r="R149" s="165"/>
      <c r="S149" s="132"/>
      <c r="T149" s="201"/>
      <c r="U149" s="201"/>
      <c r="V149" s="95"/>
      <c r="X149" s="223"/>
      <c r="Y149" s="98"/>
      <c r="Z149" s="97"/>
      <c r="AA149" s="99"/>
    </row>
    <row r="150" spans="1:27" s="96" customFormat="1" hidden="1">
      <c r="A150" s="129"/>
      <c r="B150" s="94"/>
      <c r="C150" s="94"/>
      <c r="D150" s="184"/>
      <c r="E150" s="94"/>
      <c r="F150" s="94"/>
      <c r="G150" s="385"/>
      <c r="H150" s="386"/>
      <c r="I150" s="131"/>
      <c r="J150" s="201"/>
      <c r="K150" s="201"/>
      <c r="L150" s="386"/>
      <c r="M150" s="388"/>
      <c r="N150" s="37"/>
      <c r="O150" s="389"/>
      <c r="P150" s="94"/>
      <c r="Q150" s="131"/>
      <c r="R150" s="165"/>
      <c r="S150" s="132"/>
      <c r="T150" s="201"/>
      <c r="U150" s="201"/>
      <c r="V150" s="95"/>
      <c r="X150" s="223"/>
      <c r="Y150" s="98"/>
      <c r="Z150" s="97"/>
      <c r="AA150" s="99"/>
    </row>
    <row r="151" spans="1:27" s="96" customFormat="1" hidden="1">
      <c r="A151" s="129"/>
      <c r="B151" s="94"/>
      <c r="C151" s="94"/>
      <c r="D151" s="184"/>
      <c r="E151" s="94"/>
      <c r="F151" s="94"/>
      <c r="G151" s="385"/>
      <c r="H151" s="386"/>
      <c r="I151" s="201"/>
      <c r="J151" s="201"/>
      <c r="K151" s="201"/>
      <c r="L151" s="386"/>
      <c r="M151" s="388"/>
      <c r="N151" s="37"/>
      <c r="O151" s="389"/>
      <c r="P151" s="94"/>
      <c r="Q151" s="131"/>
      <c r="R151" s="165"/>
      <c r="S151" s="132"/>
      <c r="T151" s="201"/>
      <c r="U151" s="201"/>
      <c r="V151" s="95"/>
      <c r="X151" s="223"/>
      <c r="Y151" s="98"/>
      <c r="Z151" s="97"/>
      <c r="AA151" s="99"/>
    </row>
    <row r="152" spans="1:27" s="96" customFormat="1">
      <c r="A152" s="129"/>
      <c r="B152" s="94"/>
      <c r="C152" s="94"/>
      <c r="D152" s="184"/>
      <c r="E152" s="94"/>
      <c r="F152" s="394"/>
      <c r="G152" s="394"/>
      <c r="H152" s="396"/>
      <c r="I152" s="396"/>
      <c r="J152" s="397"/>
      <c r="K152" s="396"/>
      <c r="L152" s="386"/>
      <c r="M152" s="388"/>
      <c r="N152" s="37"/>
      <c r="O152" s="389"/>
      <c r="P152" s="94"/>
      <c r="Q152" s="131"/>
      <c r="R152" s="165"/>
      <c r="S152" s="132"/>
      <c r="T152" s="131"/>
      <c r="U152" s="131"/>
      <c r="V152" s="95"/>
      <c r="X152" s="223"/>
      <c r="Y152" s="98"/>
      <c r="Z152" s="97"/>
      <c r="AA152" s="99"/>
    </row>
    <row r="153" spans="1:27" s="96" customFormat="1">
      <c r="A153" s="129"/>
      <c r="B153" s="94"/>
      <c r="C153" s="94"/>
      <c r="D153" s="184"/>
      <c r="E153" s="94"/>
      <c r="F153" s="394"/>
      <c r="G153" s="394"/>
      <c r="H153" s="396"/>
      <c r="I153" s="396"/>
      <c r="J153" s="397"/>
      <c r="K153" s="396"/>
      <c r="L153" s="386"/>
      <c r="M153" s="388"/>
      <c r="N153" s="37"/>
      <c r="O153" s="389"/>
      <c r="P153" s="94"/>
      <c r="Q153" s="131"/>
      <c r="R153" s="165"/>
      <c r="S153" s="132"/>
      <c r="T153" s="131"/>
      <c r="U153" s="131"/>
      <c r="V153" s="95"/>
      <c r="X153" s="223"/>
      <c r="Y153" s="98"/>
      <c r="Z153" s="97"/>
      <c r="AA153" s="99"/>
    </row>
    <row r="154" spans="1:27" s="96" customFormat="1" hidden="1">
      <c r="A154" s="129"/>
      <c r="B154" s="94"/>
      <c r="C154" s="94"/>
      <c r="D154" s="184"/>
      <c r="E154" s="94"/>
      <c r="F154" s="394"/>
      <c r="G154" s="394"/>
      <c r="H154" s="395"/>
      <c r="I154" s="396"/>
      <c r="J154" s="397"/>
      <c r="K154" s="395"/>
      <c r="L154" s="386"/>
      <c r="M154" s="388"/>
      <c r="N154" s="37"/>
      <c r="O154" s="389"/>
      <c r="P154" s="94"/>
      <c r="Q154" s="131"/>
      <c r="R154" s="165"/>
      <c r="S154" s="132"/>
      <c r="T154" s="201"/>
      <c r="U154" s="201"/>
      <c r="V154" s="95"/>
      <c r="X154" s="223"/>
      <c r="Y154" s="98"/>
      <c r="Z154" s="97"/>
      <c r="AA154" s="99"/>
    </row>
    <row r="155" spans="1:27" s="96" customFormat="1" hidden="1">
      <c r="A155" s="129"/>
      <c r="B155" s="94"/>
      <c r="C155" s="94"/>
      <c r="D155" s="184"/>
      <c r="E155" s="94"/>
      <c r="F155" s="394"/>
      <c r="G155" s="394"/>
      <c r="H155" s="396"/>
      <c r="I155" s="396"/>
      <c r="J155" s="397"/>
      <c r="K155" s="396"/>
      <c r="L155" s="386"/>
      <c r="M155" s="388"/>
      <c r="N155" s="37"/>
      <c r="O155" s="389"/>
      <c r="P155" s="94"/>
      <c r="Q155" s="131"/>
      <c r="R155" s="165"/>
      <c r="S155" s="132"/>
      <c r="T155" s="201"/>
      <c r="U155" s="201"/>
      <c r="V155" s="95"/>
      <c r="X155" s="223"/>
      <c r="Y155" s="98"/>
      <c r="Z155" s="97"/>
      <c r="AA155" s="99"/>
    </row>
    <row r="156" spans="1:27" s="96" customFormat="1">
      <c r="A156" s="129"/>
      <c r="B156" s="94"/>
      <c r="C156" s="94"/>
      <c r="D156" s="184"/>
      <c r="E156" s="94"/>
      <c r="F156" s="394"/>
      <c r="G156" s="394"/>
      <c r="H156" s="396"/>
      <c r="I156" s="396"/>
      <c r="J156" s="397"/>
      <c r="K156" s="396"/>
      <c r="L156" s="386"/>
      <c r="M156" s="388"/>
      <c r="N156" s="37"/>
      <c r="O156" s="389"/>
      <c r="P156" s="94"/>
      <c r="Q156" s="131"/>
      <c r="R156" s="165"/>
      <c r="S156" s="132"/>
      <c r="T156" s="201"/>
      <c r="U156" s="201"/>
      <c r="V156" s="95"/>
      <c r="X156" s="223"/>
      <c r="Y156" s="98"/>
      <c r="Z156" s="97"/>
      <c r="AA156" s="99"/>
    </row>
    <row r="157" spans="1:27" s="96" customFormat="1">
      <c r="A157" s="129"/>
      <c r="B157" s="94"/>
      <c r="C157" s="94"/>
      <c r="D157" s="184"/>
      <c r="E157" s="94"/>
      <c r="F157" s="394"/>
      <c r="G157" s="394"/>
      <c r="H157" s="395"/>
      <c r="I157" s="396"/>
      <c r="J157" s="397"/>
      <c r="K157" s="395"/>
      <c r="L157" s="201"/>
      <c r="M157" s="388"/>
      <c r="N157" s="37"/>
      <c r="O157" s="389"/>
      <c r="P157" s="94"/>
      <c r="Q157" s="131"/>
      <c r="R157" s="165"/>
      <c r="S157" s="132"/>
      <c r="T157" s="131"/>
      <c r="U157" s="131"/>
      <c r="V157" s="95"/>
      <c r="X157" s="223"/>
      <c r="Y157" s="98"/>
      <c r="Z157" s="97"/>
      <c r="AA157" s="99"/>
    </row>
    <row r="158" spans="1:27" s="96" customFormat="1">
      <c r="A158" s="129"/>
      <c r="B158" s="94"/>
      <c r="C158" s="94"/>
      <c r="D158" s="184"/>
      <c r="E158" s="94"/>
      <c r="F158" s="394"/>
      <c r="G158" s="394"/>
      <c r="H158" s="396"/>
      <c r="I158" s="396"/>
      <c r="J158" s="397"/>
      <c r="K158" s="396"/>
      <c r="L158" s="201"/>
      <c r="M158" s="388"/>
      <c r="N158" s="37"/>
      <c r="O158" s="389"/>
      <c r="P158" s="94"/>
      <c r="Q158" s="131"/>
      <c r="R158" s="165"/>
      <c r="S158" s="132"/>
      <c r="T158" s="131"/>
      <c r="U158" s="131"/>
      <c r="V158" s="95"/>
      <c r="X158" s="223"/>
      <c r="Y158" s="98"/>
      <c r="Z158" s="97"/>
      <c r="AA158" s="99"/>
    </row>
    <row r="159" spans="1:27" s="96" customFormat="1">
      <c r="A159" s="129"/>
      <c r="B159" s="94"/>
      <c r="C159" s="94"/>
      <c r="D159" s="184"/>
      <c r="E159" s="94"/>
      <c r="F159" s="394"/>
      <c r="G159" s="394"/>
      <c r="H159" s="395"/>
      <c r="I159" s="396"/>
      <c r="J159" s="397"/>
      <c r="K159" s="395"/>
      <c r="L159" s="201"/>
      <c r="M159" s="388"/>
      <c r="N159" s="37"/>
      <c r="O159" s="389"/>
      <c r="P159" s="94"/>
      <c r="Q159" s="131"/>
      <c r="R159" s="165"/>
      <c r="S159" s="132"/>
      <c r="T159" s="131"/>
      <c r="U159" s="131"/>
      <c r="V159" s="95"/>
      <c r="X159" s="223"/>
      <c r="Y159" s="98"/>
      <c r="Z159" s="97"/>
      <c r="AA159" s="99"/>
    </row>
    <row r="160" spans="1:27" s="96" customFormat="1">
      <c r="A160" s="129"/>
      <c r="B160" s="94"/>
      <c r="C160" s="94"/>
      <c r="D160" s="184"/>
      <c r="E160" s="94"/>
      <c r="F160" s="394"/>
      <c r="G160" s="394"/>
      <c r="H160" s="396"/>
      <c r="I160" s="396"/>
      <c r="J160" s="397"/>
      <c r="K160" s="396"/>
      <c r="L160" s="201"/>
      <c r="M160" s="388"/>
      <c r="N160" s="37"/>
      <c r="O160" s="389"/>
      <c r="P160" s="94"/>
      <c r="Q160" s="131"/>
      <c r="R160" s="165"/>
      <c r="S160" s="132"/>
      <c r="T160" s="131"/>
      <c r="U160" s="131"/>
      <c r="V160" s="95"/>
      <c r="X160" s="223"/>
      <c r="Y160" s="98"/>
      <c r="Z160" s="97"/>
      <c r="AA160" s="99"/>
    </row>
    <row r="161" spans="1:27" s="96" customFormat="1">
      <c r="A161" s="129"/>
      <c r="B161" s="94"/>
      <c r="C161" s="94"/>
      <c r="D161" s="184"/>
      <c r="E161" s="94"/>
      <c r="F161" s="394"/>
      <c r="G161" s="394"/>
      <c r="H161" s="396"/>
      <c r="I161" s="396"/>
      <c r="J161" s="397"/>
      <c r="K161" s="396"/>
      <c r="L161" s="201"/>
      <c r="M161" s="388"/>
      <c r="N161" s="37"/>
      <c r="O161" s="389"/>
      <c r="P161" s="94"/>
      <c r="Q161" s="131"/>
      <c r="R161" s="165"/>
      <c r="S161" s="132"/>
      <c r="T161" s="201"/>
      <c r="U161" s="201"/>
      <c r="V161" s="95"/>
      <c r="X161" s="223"/>
      <c r="Y161" s="98"/>
      <c r="Z161" s="97"/>
      <c r="AA161" s="99"/>
    </row>
    <row r="162" spans="1:27" s="96" customFormat="1">
      <c r="A162" s="129"/>
      <c r="B162" s="94"/>
      <c r="C162" s="94"/>
      <c r="D162" s="184"/>
      <c r="E162" s="94"/>
      <c r="F162" s="394"/>
      <c r="G162" s="394"/>
      <c r="H162" s="396"/>
      <c r="I162" s="396"/>
      <c r="J162" s="397"/>
      <c r="K162" s="396"/>
      <c r="L162" s="389"/>
      <c r="M162" s="388"/>
      <c r="N162" s="37"/>
      <c r="O162" s="389"/>
      <c r="P162" s="94"/>
      <c r="Q162" s="131"/>
      <c r="R162" s="165"/>
      <c r="S162" s="132"/>
      <c r="T162" s="131"/>
      <c r="U162" s="131"/>
      <c r="V162" s="95"/>
      <c r="X162" s="223"/>
      <c r="Y162" s="98"/>
      <c r="Z162" s="97"/>
      <c r="AA162" s="99"/>
    </row>
    <row r="163" spans="1:27" s="96" customFormat="1" hidden="1">
      <c r="A163" s="129"/>
      <c r="B163" s="94"/>
      <c r="C163" s="94"/>
      <c r="D163" s="184"/>
      <c r="E163" s="94"/>
      <c r="F163" s="394"/>
      <c r="G163" s="394"/>
      <c r="H163" s="396"/>
      <c r="I163" s="396"/>
      <c r="J163" s="397"/>
      <c r="K163" s="396"/>
      <c r="L163" s="201"/>
      <c r="M163" s="388"/>
      <c r="N163" s="37"/>
      <c r="O163" s="389"/>
      <c r="P163" s="94"/>
      <c r="Q163" s="131"/>
      <c r="R163" s="165"/>
      <c r="S163" s="132"/>
      <c r="T163" s="201"/>
      <c r="U163" s="201"/>
      <c r="V163" s="95"/>
      <c r="X163" s="223"/>
      <c r="Y163" s="98"/>
      <c r="Z163" s="97"/>
      <c r="AA163" s="99"/>
    </row>
    <row r="164" spans="1:27" s="96" customFormat="1" hidden="1">
      <c r="A164" s="129"/>
      <c r="B164" s="94"/>
      <c r="C164" s="94"/>
      <c r="D164" s="184"/>
      <c r="E164" s="94"/>
      <c r="F164" s="394"/>
      <c r="G164" s="394"/>
      <c r="H164" s="395"/>
      <c r="I164" s="396"/>
      <c r="J164" s="397"/>
      <c r="K164" s="395"/>
      <c r="L164" s="201"/>
      <c r="M164" s="388"/>
      <c r="N164" s="37"/>
      <c r="O164" s="389"/>
      <c r="P164" s="94"/>
      <c r="Q164" s="131"/>
      <c r="R164" s="165"/>
      <c r="S164" s="132"/>
      <c r="T164" s="201"/>
      <c r="U164" s="201"/>
      <c r="V164" s="95"/>
      <c r="X164" s="223"/>
      <c r="Y164" s="98"/>
      <c r="Z164" s="97"/>
      <c r="AA164" s="99"/>
    </row>
    <row r="165" spans="1:27" s="96" customFormat="1" hidden="1">
      <c r="A165" s="129"/>
      <c r="B165" s="94"/>
      <c r="C165" s="94"/>
      <c r="D165" s="184"/>
      <c r="E165" s="94"/>
      <c r="F165" s="394"/>
      <c r="G165" s="394"/>
      <c r="H165" s="395"/>
      <c r="I165" s="396"/>
      <c r="J165" s="397"/>
      <c r="K165" s="395"/>
      <c r="L165" s="201"/>
      <c r="M165" s="388"/>
      <c r="N165" s="37"/>
      <c r="O165" s="389"/>
      <c r="P165" s="94"/>
      <c r="Q165" s="131"/>
      <c r="R165" s="165"/>
      <c r="S165" s="132"/>
      <c r="T165" s="201"/>
      <c r="U165" s="201"/>
      <c r="V165" s="95"/>
      <c r="X165" s="223"/>
      <c r="Y165" s="98"/>
      <c r="Z165" s="97"/>
      <c r="AA165" s="99"/>
    </row>
    <row r="166" spans="1:27" s="96" customFormat="1" ht="22.9" hidden="1" customHeight="1">
      <c r="A166" s="129"/>
      <c r="B166" s="94"/>
      <c r="C166" s="94"/>
      <c r="D166" s="184"/>
      <c r="E166" s="94"/>
      <c r="F166" s="94"/>
      <c r="G166" s="385"/>
      <c r="H166" s="386"/>
      <c r="I166" s="201"/>
      <c r="J166" s="201"/>
      <c r="K166" s="386"/>
      <c r="L166" s="201"/>
      <c r="M166" s="388"/>
      <c r="N166" s="37"/>
      <c r="O166" s="389"/>
      <c r="P166" s="94"/>
      <c r="Q166" s="131"/>
      <c r="R166" s="165"/>
      <c r="S166" s="132"/>
      <c r="T166" s="201"/>
      <c r="U166" s="201"/>
      <c r="V166" s="95"/>
      <c r="X166" s="223"/>
      <c r="Y166" s="98"/>
      <c r="Z166" s="97"/>
      <c r="AA166" s="99"/>
    </row>
    <row r="167" spans="1:27" s="96" customFormat="1" hidden="1">
      <c r="A167" s="129"/>
      <c r="B167" s="94"/>
      <c r="C167" s="94"/>
      <c r="D167" s="184"/>
      <c r="E167" s="94"/>
      <c r="F167" s="94"/>
      <c r="G167" s="385"/>
      <c r="H167" s="386"/>
      <c r="I167" s="201"/>
      <c r="J167" s="201"/>
      <c r="K167" s="386"/>
      <c r="L167" s="201"/>
      <c r="M167" s="388"/>
      <c r="N167" s="37"/>
      <c r="O167" s="389"/>
      <c r="P167" s="94"/>
      <c r="Q167" s="131"/>
      <c r="R167" s="165"/>
      <c r="S167" s="132"/>
      <c r="T167" s="201"/>
      <c r="U167" s="201"/>
      <c r="V167" s="95"/>
      <c r="X167" s="223"/>
      <c r="Y167" s="98"/>
      <c r="Z167" s="97"/>
      <c r="AA167" s="99"/>
    </row>
    <row r="168" spans="1:27" s="96" customFormat="1" hidden="1">
      <c r="A168" s="129"/>
      <c r="B168" s="94"/>
      <c r="C168" s="94"/>
      <c r="D168" s="184"/>
      <c r="E168" s="94"/>
      <c r="F168" s="94"/>
      <c r="G168" s="385"/>
      <c r="H168" s="386"/>
      <c r="I168" s="201"/>
      <c r="J168" s="201"/>
      <c r="K168" s="386"/>
      <c r="L168" s="201"/>
      <c r="M168" s="388"/>
      <c r="N168" s="37"/>
      <c r="O168" s="389"/>
      <c r="P168" s="94"/>
      <c r="Q168" s="131"/>
      <c r="R168" s="165"/>
      <c r="S168" s="132"/>
      <c r="T168" s="201"/>
      <c r="U168" s="201"/>
      <c r="V168" s="95"/>
      <c r="X168" s="223"/>
      <c r="Y168" s="98"/>
      <c r="Z168" s="97"/>
      <c r="AA168" s="99"/>
    </row>
    <row r="169" spans="1:27" s="96" customFormat="1" hidden="1">
      <c r="A169" s="129"/>
      <c r="B169" s="94"/>
      <c r="C169" s="94"/>
      <c r="D169" s="184"/>
      <c r="E169" s="94"/>
      <c r="F169" s="94"/>
      <c r="G169" s="385"/>
      <c r="H169" s="386"/>
      <c r="I169" s="201"/>
      <c r="J169" s="201"/>
      <c r="K169" s="386"/>
      <c r="L169" s="201"/>
      <c r="M169" s="388"/>
      <c r="N169" s="37"/>
      <c r="O169" s="389"/>
      <c r="P169" s="94"/>
      <c r="Q169" s="131"/>
      <c r="R169" s="165"/>
      <c r="S169" s="132"/>
      <c r="T169" s="201"/>
      <c r="U169" s="201"/>
      <c r="V169" s="95"/>
      <c r="X169" s="223"/>
      <c r="Y169" s="98"/>
      <c r="Z169" s="97"/>
      <c r="AA169" s="99"/>
    </row>
    <row r="170" spans="1:27" s="96" customFormat="1" hidden="1">
      <c r="A170" s="129"/>
      <c r="B170" s="94"/>
      <c r="C170" s="94"/>
      <c r="D170" s="184"/>
      <c r="E170" s="94"/>
      <c r="F170" s="94"/>
      <c r="G170" s="385"/>
      <c r="H170" s="386"/>
      <c r="I170" s="201"/>
      <c r="J170" s="201"/>
      <c r="K170" s="386"/>
      <c r="L170" s="201"/>
      <c r="M170" s="388"/>
      <c r="N170" s="37"/>
      <c r="O170" s="389"/>
      <c r="P170" s="94"/>
      <c r="Q170" s="131"/>
      <c r="R170" s="165"/>
      <c r="S170" s="132"/>
      <c r="T170" s="201"/>
      <c r="U170" s="201"/>
      <c r="V170" s="95"/>
      <c r="X170" s="223"/>
      <c r="Y170" s="98"/>
      <c r="Z170" s="97"/>
      <c r="AA170" s="99"/>
    </row>
    <row r="171" spans="1:27" s="96" customFormat="1" hidden="1">
      <c r="A171" s="129"/>
      <c r="B171" s="94"/>
      <c r="C171" s="94"/>
      <c r="D171" s="184"/>
      <c r="E171" s="94"/>
      <c r="F171" s="94"/>
      <c r="G171" s="385"/>
      <c r="H171" s="386"/>
      <c r="I171" s="201"/>
      <c r="J171" s="201"/>
      <c r="K171" s="386"/>
      <c r="L171" s="201"/>
      <c r="M171" s="388"/>
      <c r="N171" s="37"/>
      <c r="O171" s="389"/>
      <c r="P171" s="94"/>
      <c r="Q171" s="131"/>
      <c r="R171" s="165"/>
      <c r="S171" s="132"/>
      <c r="T171" s="201"/>
      <c r="U171" s="201"/>
      <c r="V171" s="95"/>
      <c r="X171" s="223"/>
      <c r="Y171" s="98"/>
      <c r="Z171" s="97"/>
      <c r="AA171" s="99"/>
    </row>
    <row r="172" spans="1:27" s="96" customFormat="1" hidden="1">
      <c r="A172" s="129"/>
      <c r="B172" s="94"/>
      <c r="C172" s="94"/>
      <c r="D172" s="184"/>
      <c r="E172" s="94"/>
      <c r="F172" s="94"/>
      <c r="G172" s="385"/>
      <c r="H172" s="386"/>
      <c r="I172" s="201"/>
      <c r="J172" s="201"/>
      <c r="K172" s="386"/>
      <c r="L172" s="201"/>
      <c r="M172" s="388"/>
      <c r="N172" s="37"/>
      <c r="O172" s="389"/>
      <c r="P172" s="94"/>
      <c r="Q172" s="131"/>
      <c r="R172" s="165"/>
      <c r="S172" s="132"/>
      <c r="T172" s="201"/>
      <c r="U172" s="201"/>
      <c r="V172" s="95"/>
      <c r="X172" s="223"/>
      <c r="Y172" s="98"/>
      <c r="Z172" s="97"/>
      <c r="AA172" s="99"/>
    </row>
    <row r="173" spans="1:27" s="96" customFormat="1" hidden="1">
      <c r="A173" s="129"/>
      <c r="B173" s="94"/>
      <c r="C173" s="94"/>
      <c r="D173" s="184"/>
      <c r="E173" s="94"/>
      <c r="F173" s="94"/>
      <c r="G173" s="385"/>
      <c r="H173" s="386"/>
      <c r="I173" s="201"/>
      <c r="J173" s="201"/>
      <c r="K173" s="386"/>
      <c r="L173" s="201"/>
      <c r="M173" s="388"/>
      <c r="N173" s="37"/>
      <c r="O173" s="389"/>
      <c r="P173" s="94"/>
      <c r="Q173" s="131"/>
      <c r="R173" s="165"/>
      <c r="S173" s="132"/>
      <c r="T173" s="201"/>
      <c r="U173" s="201"/>
      <c r="V173" s="95"/>
      <c r="X173" s="223"/>
      <c r="Y173" s="98"/>
      <c r="Z173" s="97"/>
      <c r="AA173" s="99"/>
    </row>
    <row r="174" spans="1:27" s="96" customFormat="1" hidden="1">
      <c r="A174" s="129"/>
      <c r="B174" s="94"/>
      <c r="C174" s="94"/>
      <c r="D174" s="184"/>
      <c r="E174" s="94"/>
      <c r="F174" s="94"/>
      <c r="G174" s="385"/>
      <c r="H174" s="386"/>
      <c r="I174" s="201"/>
      <c r="J174" s="201"/>
      <c r="K174" s="386"/>
      <c r="L174" s="201"/>
      <c r="M174" s="388"/>
      <c r="N174" s="37"/>
      <c r="O174" s="389"/>
      <c r="P174" s="94"/>
      <c r="Q174" s="131"/>
      <c r="R174" s="165"/>
      <c r="S174" s="132"/>
      <c r="T174" s="201"/>
      <c r="U174" s="201"/>
      <c r="V174" s="95"/>
      <c r="X174" s="223"/>
      <c r="Y174" s="98"/>
      <c r="Z174" s="97"/>
      <c r="AA174" s="99"/>
    </row>
    <row r="175" spans="1:27" s="96" customFormat="1" hidden="1">
      <c r="A175" s="129"/>
      <c r="B175" s="94"/>
      <c r="C175" s="94"/>
      <c r="D175" s="184"/>
      <c r="E175" s="94"/>
      <c r="F175" s="94"/>
      <c r="G175" s="385"/>
      <c r="H175" s="386"/>
      <c r="I175" s="201"/>
      <c r="J175" s="201"/>
      <c r="K175" s="201"/>
      <c r="L175" s="386"/>
      <c r="M175" s="388"/>
      <c r="N175" s="37"/>
      <c r="O175" s="389"/>
      <c r="P175" s="94"/>
      <c r="Q175" s="131"/>
      <c r="R175" s="165"/>
      <c r="S175" s="132"/>
      <c r="T175" s="201"/>
      <c r="U175" s="201"/>
      <c r="V175" s="95"/>
      <c r="X175" s="223"/>
      <c r="Y175" s="98"/>
      <c r="Z175" s="97"/>
      <c r="AA175" s="99"/>
    </row>
    <row r="176" spans="1:27" s="96" customFormat="1" hidden="1">
      <c r="A176" s="129"/>
      <c r="B176" s="94"/>
      <c r="C176" s="94"/>
      <c r="D176" s="184"/>
      <c r="E176" s="94"/>
      <c r="F176" s="94"/>
      <c r="G176" s="385"/>
      <c r="H176" s="386"/>
      <c r="I176" s="201"/>
      <c r="J176" s="201"/>
      <c r="K176" s="201"/>
      <c r="L176" s="386"/>
      <c r="M176" s="388"/>
      <c r="N176" s="37"/>
      <c r="O176" s="389"/>
      <c r="P176" s="94"/>
      <c r="Q176" s="131"/>
      <c r="R176" s="165"/>
      <c r="S176" s="132"/>
      <c r="T176" s="201"/>
      <c r="U176" s="201"/>
      <c r="V176" s="95"/>
      <c r="X176" s="223"/>
      <c r="Y176" s="98"/>
      <c r="Z176" s="97"/>
      <c r="AA176" s="99"/>
    </row>
    <row r="177" spans="1:27" s="96" customFormat="1" hidden="1">
      <c r="A177" s="129"/>
      <c r="B177" s="94"/>
      <c r="C177" s="94"/>
      <c r="D177" s="184"/>
      <c r="E177" s="94"/>
      <c r="F177" s="94"/>
      <c r="G177" s="385"/>
      <c r="H177" s="386"/>
      <c r="I177" s="201"/>
      <c r="J177" s="201"/>
      <c r="K177" s="201"/>
      <c r="L177" s="386"/>
      <c r="M177" s="388"/>
      <c r="N177" s="37"/>
      <c r="O177" s="389"/>
      <c r="P177" s="94"/>
      <c r="Q177" s="131"/>
      <c r="R177" s="165"/>
      <c r="S177" s="132"/>
      <c r="T177" s="201"/>
      <c r="U177" s="201"/>
      <c r="V177" s="95"/>
      <c r="X177" s="223"/>
      <c r="Y177" s="98"/>
      <c r="Z177" s="97"/>
      <c r="AA177" s="99"/>
    </row>
    <row r="178" spans="1:27" s="96" customFormat="1" hidden="1">
      <c r="A178" s="129"/>
      <c r="B178" s="94"/>
      <c r="C178" s="94"/>
      <c r="D178" s="184"/>
      <c r="E178" s="94"/>
      <c r="F178" s="94"/>
      <c r="G178" s="385"/>
      <c r="H178" s="386"/>
      <c r="I178" s="201"/>
      <c r="J178" s="201"/>
      <c r="K178" s="386"/>
      <c r="L178" s="386"/>
      <c r="M178" s="388"/>
      <c r="N178" s="37"/>
      <c r="O178" s="389"/>
      <c r="P178" s="94"/>
      <c r="Q178" s="131"/>
      <c r="R178" s="165"/>
      <c r="S178" s="132"/>
      <c r="T178" s="201"/>
      <c r="U178" s="201"/>
      <c r="V178" s="95"/>
      <c r="X178" s="223"/>
      <c r="Y178" s="98"/>
      <c r="Z178" s="97"/>
      <c r="AA178" s="99"/>
    </row>
    <row r="179" spans="1:27" s="96" customFormat="1" hidden="1">
      <c r="A179" s="129"/>
      <c r="B179" s="94"/>
      <c r="C179" s="94"/>
      <c r="D179" s="184"/>
      <c r="E179" s="94"/>
      <c r="F179" s="94"/>
      <c r="G179" s="385"/>
      <c r="H179" s="386"/>
      <c r="I179" s="201"/>
      <c r="J179" s="201"/>
      <c r="K179" s="386"/>
      <c r="L179" s="386"/>
      <c r="M179" s="388"/>
      <c r="N179" s="37"/>
      <c r="O179" s="389"/>
      <c r="P179" s="94"/>
      <c r="Q179" s="131"/>
      <c r="R179" s="165"/>
      <c r="S179" s="132"/>
      <c r="T179" s="201"/>
      <c r="U179" s="201"/>
      <c r="V179" s="95"/>
      <c r="X179" s="223"/>
      <c r="Y179" s="98"/>
      <c r="Z179" s="97"/>
      <c r="AA179" s="99"/>
    </row>
    <row r="180" spans="1:27" s="96" customFormat="1" hidden="1">
      <c r="A180" s="129"/>
      <c r="B180" s="94"/>
      <c r="C180" s="94"/>
      <c r="D180" s="184"/>
      <c r="E180" s="94"/>
      <c r="F180" s="94"/>
      <c r="G180" s="385"/>
      <c r="H180" s="386"/>
      <c r="I180" s="201"/>
      <c r="J180" s="201"/>
      <c r="K180" s="386"/>
      <c r="L180" s="386"/>
      <c r="M180" s="388"/>
      <c r="N180" s="37"/>
      <c r="O180" s="389"/>
      <c r="P180" s="94"/>
      <c r="Q180" s="131"/>
      <c r="R180" s="165"/>
      <c r="S180" s="132"/>
      <c r="T180" s="201"/>
      <c r="U180" s="201"/>
      <c r="V180" s="95"/>
      <c r="X180" s="223"/>
      <c r="Y180" s="98"/>
      <c r="Z180" s="97"/>
      <c r="AA180" s="99"/>
    </row>
    <row r="181" spans="1:27" s="96" customFormat="1" hidden="1">
      <c r="A181" s="129"/>
      <c r="B181" s="94"/>
      <c r="C181" s="94"/>
      <c r="D181" s="184"/>
      <c r="E181" s="94"/>
      <c r="F181" s="94"/>
      <c r="G181" s="385"/>
      <c r="H181" s="386"/>
      <c r="I181" s="201"/>
      <c r="J181" s="201"/>
      <c r="K181" s="386"/>
      <c r="L181" s="386"/>
      <c r="M181" s="388"/>
      <c r="N181" s="37"/>
      <c r="O181" s="389"/>
      <c r="P181" s="94"/>
      <c r="Q181" s="131"/>
      <c r="R181" s="165"/>
      <c r="S181" s="132"/>
      <c r="T181" s="201"/>
      <c r="U181" s="201"/>
      <c r="V181" s="95"/>
      <c r="X181" s="223"/>
      <c r="Y181" s="98"/>
      <c r="Z181" s="97"/>
      <c r="AA181" s="99"/>
    </row>
    <row r="182" spans="1:27" s="96" customFormat="1" hidden="1">
      <c r="A182" s="129"/>
      <c r="B182" s="94"/>
      <c r="C182" s="94"/>
      <c r="D182" s="184"/>
      <c r="E182" s="94"/>
      <c r="F182" s="394"/>
      <c r="G182" s="394"/>
      <c r="H182" s="395"/>
      <c r="I182" s="396"/>
      <c r="J182" s="397"/>
      <c r="K182" s="395"/>
      <c r="L182" s="386"/>
      <c r="M182" s="388"/>
      <c r="N182" s="37"/>
      <c r="O182" s="389"/>
      <c r="P182" s="94"/>
      <c r="Q182" s="131"/>
      <c r="R182" s="165"/>
      <c r="S182" s="132"/>
      <c r="T182" s="201"/>
      <c r="U182" s="201"/>
      <c r="V182" s="95"/>
      <c r="X182" s="223"/>
      <c r="Y182" s="98"/>
      <c r="Z182" s="97"/>
      <c r="AA182" s="99"/>
    </row>
    <row r="183" spans="1:27" s="96" customFormat="1" hidden="1">
      <c r="A183" s="129"/>
      <c r="B183" s="94"/>
      <c r="C183" s="94"/>
      <c r="D183" s="184"/>
      <c r="E183" s="94"/>
      <c r="F183" s="394"/>
      <c r="G183" s="394"/>
      <c r="H183" s="395"/>
      <c r="I183" s="396"/>
      <c r="J183" s="397"/>
      <c r="K183" s="395"/>
      <c r="L183" s="201"/>
      <c r="M183" s="388"/>
      <c r="N183" s="37"/>
      <c r="O183" s="389"/>
      <c r="P183" s="94"/>
      <c r="Q183" s="131"/>
      <c r="R183" s="165"/>
      <c r="S183" s="132"/>
      <c r="T183" s="201"/>
      <c r="U183" s="201"/>
      <c r="V183" s="95"/>
      <c r="X183" s="223"/>
      <c r="Y183" s="98"/>
      <c r="Z183" s="97"/>
      <c r="AA183" s="99"/>
    </row>
    <row r="184" spans="1:27" s="96" customFormat="1" hidden="1">
      <c r="A184" s="129"/>
      <c r="B184" s="94"/>
      <c r="C184" s="94"/>
      <c r="D184" s="184"/>
      <c r="E184" s="94"/>
      <c r="F184" s="394"/>
      <c r="G184" s="394"/>
      <c r="H184" s="396"/>
      <c r="I184" s="396"/>
      <c r="J184" s="397"/>
      <c r="K184" s="396"/>
      <c r="L184" s="201"/>
      <c r="M184" s="388"/>
      <c r="N184" s="37"/>
      <c r="O184" s="389"/>
      <c r="P184" s="94"/>
      <c r="Q184" s="131"/>
      <c r="R184" s="165"/>
      <c r="S184" s="132"/>
      <c r="T184" s="201"/>
      <c r="U184" s="201"/>
      <c r="V184" s="95"/>
      <c r="X184" s="223"/>
      <c r="Y184" s="98"/>
      <c r="Z184" s="97"/>
      <c r="AA184" s="99"/>
    </row>
    <row r="185" spans="1:27" s="96" customFormat="1" hidden="1">
      <c r="A185" s="129"/>
      <c r="B185" s="94"/>
      <c r="C185" s="94"/>
      <c r="D185" s="184"/>
      <c r="E185" s="94"/>
      <c r="F185" s="394"/>
      <c r="G185" s="394"/>
      <c r="H185" s="396"/>
      <c r="I185" s="396"/>
      <c r="J185" s="397"/>
      <c r="K185" s="396"/>
      <c r="L185" s="201"/>
      <c r="M185" s="388"/>
      <c r="N185" s="37"/>
      <c r="O185" s="389"/>
      <c r="P185" s="94"/>
      <c r="Q185" s="131"/>
      <c r="R185" s="165"/>
      <c r="S185" s="132"/>
      <c r="T185" s="201"/>
      <c r="U185" s="201"/>
      <c r="V185" s="95"/>
      <c r="X185" s="223"/>
      <c r="Y185" s="98"/>
      <c r="Z185" s="97"/>
      <c r="AA185" s="99"/>
    </row>
    <row r="186" spans="1:27" s="96" customFormat="1" hidden="1">
      <c r="A186" s="129"/>
      <c r="B186" s="94"/>
      <c r="C186" s="94"/>
      <c r="D186" s="184"/>
      <c r="E186" s="94"/>
      <c r="F186" s="394"/>
      <c r="G186" s="394"/>
      <c r="H186" s="396"/>
      <c r="I186" s="396"/>
      <c r="J186" s="397"/>
      <c r="K186" s="396"/>
      <c r="L186" s="201"/>
      <c r="M186" s="388"/>
      <c r="N186" s="37"/>
      <c r="O186" s="389"/>
      <c r="P186" s="94"/>
      <c r="Q186" s="131"/>
      <c r="R186" s="165"/>
      <c r="S186" s="132"/>
      <c r="T186" s="201"/>
      <c r="U186" s="201"/>
      <c r="V186" s="95"/>
      <c r="X186" s="223"/>
      <c r="Y186" s="98"/>
      <c r="Z186" s="97"/>
      <c r="AA186" s="99"/>
    </row>
    <row r="187" spans="1:27" s="96" customFormat="1" hidden="1">
      <c r="A187" s="129"/>
      <c r="B187" s="94"/>
      <c r="C187" s="94"/>
      <c r="D187" s="184"/>
      <c r="E187" s="94"/>
      <c r="F187" s="394"/>
      <c r="G187" s="394"/>
      <c r="H187" s="395"/>
      <c r="I187" s="396"/>
      <c r="J187" s="397"/>
      <c r="K187" s="395"/>
      <c r="L187" s="201"/>
      <c r="M187" s="388"/>
      <c r="N187" s="37"/>
      <c r="O187" s="389"/>
      <c r="P187" s="94"/>
      <c r="Q187" s="131"/>
      <c r="R187" s="165"/>
      <c r="S187" s="132"/>
      <c r="T187" s="201"/>
      <c r="U187" s="201"/>
      <c r="V187" s="95"/>
      <c r="X187" s="223"/>
      <c r="Y187" s="98"/>
      <c r="Z187" s="97"/>
      <c r="AA187" s="99"/>
    </row>
    <row r="188" spans="1:27" s="96" customFormat="1" hidden="1">
      <c r="A188" s="129"/>
      <c r="B188" s="94"/>
      <c r="C188" s="94"/>
      <c r="D188" s="184"/>
      <c r="E188" s="94"/>
      <c r="F188" s="394"/>
      <c r="G188" s="394"/>
      <c r="H188" s="396"/>
      <c r="I188" s="396"/>
      <c r="J188" s="397"/>
      <c r="K188" s="396"/>
      <c r="L188" s="201"/>
      <c r="M188" s="388"/>
      <c r="N188" s="37"/>
      <c r="O188" s="389"/>
      <c r="P188" s="94"/>
      <c r="Q188" s="131"/>
      <c r="R188" s="165"/>
      <c r="S188" s="132"/>
      <c r="T188" s="201"/>
      <c r="U188" s="201"/>
      <c r="V188" s="95"/>
      <c r="X188" s="223"/>
      <c r="Y188" s="98"/>
      <c r="Z188" s="97"/>
      <c r="AA188" s="99"/>
    </row>
    <row r="189" spans="1:27" s="96" customFormat="1" hidden="1">
      <c r="A189" s="129"/>
      <c r="B189" s="94"/>
      <c r="C189" s="94"/>
      <c r="D189" s="184"/>
      <c r="E189" s="94"/>
      <c r="F189" s="394"/>
      <c r="G189" s="394"/>
      <c r="H189" s="395"/>
      <c r="I189" s="396"/>
      <c r="J189" s="397"/>
      <c r="K189" s="395"/>
      <c r="L189" s="201"/>
      <c r="M189" s="388"/>
      <c r="N189" s="37"/>
      <c r="O189" s="389"/>
      <c r="P189" s="94"/>
      <c r="Q189" s="131"/>
      <c r="R189" s="165"/>
      <c r="S189" s="132"/>
      <c r="T189" s="201"/>
      <c r="U189" s="201"/>
      <c r="V189" s="95"/>
      <c r="X189" s="223"/>
      <c r="Y189" s="98"/>
      <c r="Z189" s="97"/>
      <c r="AA189" s="99"/>
    </row>
    <row r="190" spans="1:27" s="96" customFormat="1" hidden="1">
      <c r="A190" s="129"/>
      <c r="B190" s="94"/>
      <c r="C190" s="94"/>
      <c r="D190" s="184"/>
      <c r="E190" s="94"/>
      <c r="F190" s="394"/>
      <c r="G190" s="394"/>
      <c r="H190" s="396"/>
      <c r="I190" s="396"/>
      <c r="J190" s="397"/>
      <c r="K190" s="396"/>
      <c r="L190" s="201"/>
      <c r="M190" s="388"/>
      <c r="N190" s="37"/>
      <c r="O190" s="389"/>
      <c r="P190" s="94"/>
      <c r="Q190" s="131"/>
      <c r="R190" s="165"/>
      <c r="S190" s="132"/>
      <c r="T190" s="201"/>
      <c r="U190" s="201"/>
      <c r="V190" s="95"/>
      <c r="X190" s="223"/>
      <c r="Y190" s="98"/>
      <c r="Z190" s="97"/>
      <c r="AA190" s="99"/>
    </row>
    <row r="191" spans="1:27" s="96" customFormat="1" hidden="1">
      <c r="A191" s="129"/>
      <c r="B191" s="94"/>
      <c r="C191" s="94"/>
      <c r="D191" s="184"/>
      <c r="E191" s="94"/>
      <c r="F191" s="394"/>
      <c r="G191" s="394"/>
      <c r="H191" s="395"/>
      <c r="I191" s="396"/>
      <c r="J191" s="397"/>
      <c r="K191" s="395"/>
      <c r="L191" s="201"/>
      <c r="M191" s="388"/>
      <c r="N191" s="37"/>
      <c r="O191" s="389"/>
      <c r="P191" s="94"/>
      <c r="Q191" s="131"/>
      <c r="R191" s="165"/>
      <c r="S191" s="132"/>
      <c r="T191" s="201"/>
      <c r="U191" s="201"/>
      <c r="V191" s="95"/>
      <c r="X191" s="223"/>
      <c r="Y191" s="98"/>
      <c r="Z191" s="97"/>
      <c r="AA191" s="99"/>
    </row>
    <row r="192" spans="1:27" s="96" customFormat="1" hidden="1">
      <c r="A192" s="129"/>
      <c r="B192" s="94"/>
      <c r="C192" s="94"/>
      <c r="D192" s="184"/>
      <c r="E192" s="94"/>
      <c r="F192" s="394"/>
      <c r="G192" s="394"/>
      <c r="H192" s="395"/>
      <c r="I192" s="396"/>
      <c r="J192" s="397"/>
      <c r="K192" s="395"/>
      <c r="L192" s="201"/>
      <c r="M192" s="388"/>
      <c r="N192" s="37"/>
      <c r="O192" s="389"/>
      <c r="P192" s="94"/>
      <c r="Q192" s="131"/>
      <c r="R192" s="165"/>
      <c r="S192" s="132"/>
      <c r="T192" s="201"/>
      <c r="U192" s="201"/>
      <c r="V192" s="95"/>
      <c r="X192" s="223"/>
      <c r="Y192" s="98"/>
      <c r="Z192" s="97"/>
      <c r="AA192" s="99"/>
    </row>
    <row r="193" spans="1:27" s="96" customFormat="1" ht="20.25" hidden="1" customHeight="1">
      <c r="A193" s="129"/>
      <c r="B193" s="94"/>
      <c r="C193" s="94"/>
      <c r="D193" s="184"/>
      <c r="E193" s="94"/>
      <c r="F193" s="94"/>
      <c r="G193" s="385"/>
      <c r="H193" s="386"/>
      <c r="I193" s="201"/>
      <c r="J193" s="201"/>
      <c r="K193" s="386"/>
      <c r="L193" s="201"/>
      <c r="M193" s="388"/>
      <c r="N193" s="37"/>
      <c r="O193" s="389"/>
      <c r="P193" s="94"/>
      <c r="Q193" s="131"/>
      <c r="R193" s="165"/>
      <c r="S193" s="132"/>
      <c r="T193" s="201"/>
      <c r="U193" s="201"/>
      <c r="V193" s="95"/>
      <c r="X193" s="223"/>
      <c r="Y193" s="98"/>
      <c r="Z193" s="97"/>
      <c r="AA193" s="99"/>
    </row>
    <row r="194" spans="1:27" s="96" customFormat="1" ht="20.25" hidden="1" customHeight="1">
      <c r="A194" s="129"/>
      <c r="B194" s="94"/>
      <c r="C194" s="94"/>
      <c r="D194" s="184"/>
      <c r="E194" s="94"/>
      <c r="F194" s="94"/>
      <c r="G194" s="385"/>
      <c r="H194" s="386"/>
      <c r="I194" s="201"/>
      <c r="J194" s="201"/>
      <c r="K194" s="386"/>
      <c r="L194" s="201"/>
      <c r="M194" s="388"/>
      <c r="N194" s="37"/>
      <c r="O194" s="389"/>
      <c r="P194" s="94"/>
      <c r="Q194" s="131"/>
      <c r="R194" s="165"/>
      <c r="S194" s="132"/>
      <c r="T194" s="201"/>
      <c r="U194" s="201"/>
      <c r="V194" s="95"/>
      <c r="X194" s="223"/>
      <c r="Y194" s="98"/>
      <c r="Z194" s="97"/>
      <c r="AA194" s="99"/>
    </row>
    <row r="195" spans="1:27" s="96" customFormat="1" ht="20.25" hidden="1" customHeight="1">
      <c r="A195" s="129"/>
      <c r="B195" s="94"/>
      <c r="C195" s="94"/>
      <c r="D195" s="184"/>
      <c r="E195" s="94"/>
      <c r="F195" s="94"/>
      <c r="G195" s="385"/>
      <c r="H195" s="386"/>
      <c r="I195" s="201"/>
      <c r="J195" s="201"/>
      <c r="K195" s="386"/>
      <c r="L195" s="201"/>
      <c r="M195" s="388"/>
      <c r="N195" s="37"/>
      <c r="O195" s="389"/>
      <c r="P195" s="94"/>
      <c r="Q195" s="131"/>
      <c r="R195" s="165"/>
      <c r="S195" s="132"/>
      <c r="T195" s="201"/>
      <c r="U195" s="201"/>
      <c r="V195" s="95"/>
      <c r="X195" s="223"/>
      <c r="Y195" s="98"/>
      <c r="Z195" s="97"/>
      <c r="AA195" s="99"/>
    </row>
    <row r="196" spans="1:27" s="96" customFormat="1" ht="20.25" hidden="1" customHeight="1">
      <c r="A196" s="129"/>
      <c r="B196" s="94"/>
      <c r="C196" s="94"/>
      <c r="D196" s="184"/>
      <c r="E196" s="94"/>
      <c r="F196" s="94"/>
      <c r="G196" s="385"/>
      <c r="H196" s="386"/>
      <c r="I196" s="201"/>
      <c r="J196" s="201"/>
      <c r="K196" s="386"/>
      <c r="L196" s="201"/>
      <c r="M196" s="388"/>
      <c r="N196" s="37"/>
      <c r="O196" s="389"/>
      <c r="P196" s="94"/>
      <c r="Q196" s="131"/>
      <c r="R196" s="165"/>
      <c r="S196" s="132"/>
      <c r="T196" s="201"/>
      <c r="U196" s="201"/>
      <c r="V196" s="95"/>
      <c r="X196" s="223"/>
      <c r="Y196" s="98"/>
      <c r="Z196" s="97"/>
      <c r="AA196" s="99"/>
    </row>
    <row r="197" spans="1:27" s="96" customFormat="1" ht="20.25" hidden="1" customHeight="1">
      <c r="A197" s="129"/>
      <c r="B197" s="94"/>
      <c r="C197" s="94"/>
      <c r="D197" s="184"/>
      <c r="E197" s="94"/>
      <c r="F197" s="94"/>
      <c r="G197" s="385"/>
      <c r="H197" s="386"/>
      <c r="I197" s="201"/>
      <c r="J197" s="201"/>
      <c r="K197" s="386"/>
      <c r="L197" s="201"/>
      <c r="M197" s="388"/>
      <c r="N197" s="37"/>
      <c r="O197" s="389"/>
      <c r="P197" s="94"/>
      <c r="Q197" s="131"/>
      <c r="R197" s="165"/>
      <c r="S197" s="132"/>
      <c r="T197" s="201"/>
      <c r="U197" s="201"/>
      <c r="V197" s="95"/>
      <c r="X197" s="223"/>
      <c r="Y197" s="98"/>
      <c r="Z197" s="97"/>
      <c r="AA197" s="99"/>
    </row>
    <row r="198" spans="1:27" s="96" customFormat="1" ht="20.25" hidden="1" customHeight="1">
      <c r="A198" s="129"/>
      <c r="B198" s="94"/>
      <c r="C198" s="94"/>
      <c r="D198" s="184"/>
      <c r="E198" s="94"/>
      <c r="F198" s="94"/>
      <c r="G198" s="385"/>
      <c r="H198" s="386"/>
      <c r="I198" s="201"/>
      <c r="J198" s="201"/>
      <c r="K198" s="386"/>
      <c r="L198" s="201"/>
      <c r="M198" s="388"/>
      <c r="N198" s="37"/>
      <c r="O198" s="389"/>
      <c r="P198" s="94"/>
      <c r="Q198" s="131"/>
      <c r="R198" s="165"/>
      <c r="S198" s="132"/>
      <c r="T198" s="201"/>
      <c r="U198" s="201"/>
      <c r="V198" s="95"/>
      <c r="X198" s="223"/>
      <c r="Y198" s="98"/>
      <c r="Z198" s="97"/>
      <c r="AA198" s="99"/>
    </row>
    <row r="199" spans="1:27" s="96" customFormat="1" ht="20.25" hidden="1" customHeight="1">
      <c r="A199" s="129"/>
      <c r="B199" s="94"/>
      <c r="C199" s="94"/>
      <c r="D199" s="184"/>
      <c r="E199" s="94"/>
      <c r="F199" s="94"/>
      <c r="G199" s="385"/>
      <c r="H199" s="386"/>
      <c r="I199" s="201"/>
      <c r="J199" s="201"/>
      <c r="K199" s="386"/>
      <c r="L199" s="201"/>
      <c r="M199" s="388"/>
      <c r="N199" s="37"/>
      <c r="O199" s="389"/>
      <c r="P199" s="94"/>
      <c r="Q199" s="131"/>
      <c r="R199" s="165"/>
      <c r="S199" s="132"/>
      <c r="T199" s="201"/>
      <c r="U199" s="201"/>
      <c r="V199" s="95"/>
      <c r="X199" s="223"/>
      <c r="Y199" s="98"/>
      <c r="Z199" s="97"/>
      <c r="AA199" s="99"/>
    </row>
    <row r="200" spans="1:27" s="96" customFormat="1" ht="20.25" hidden="1" customHeight="1">
      <c r="A200" s="129"/>
      <c r="B200" s="94"/>
      <c r="C200" s="94"/>
      <c r="D200" s="184"/>
      <c r="E200" s="94"/>
      <c r="F200" s="94"/>
      <c r="G200" s="385"/>
      <c r="H200" s="386"/>
      <c r="I200" s="201"/>
      <c r="J200" s="201"/>
      <c r="K200" s="386"/>
      <c r="L200" s="201"/>
      <c r="M200" s="388"/>
      <c r="N200" s="37"/>
      <c r="O200" s="389"/>
      <c r="P200" s="94"/>
      <c r="Q200" s="131"/>
      <c r="R200" s="165"/>
      <c r="S200" s="132"/>
      <c r="T200" s="201"/>
      <c r="U200" s="201"/>
      <c r="V200" s="95"/>
      <c r="X200" s="223"/>
      <c r="Y200" s="98"/>
      <c r="Z200" s="97"/>
      <c r="AA200" s="99"/>
    </row>
    <row r="201" spans="1:27" s="96" customFormat="1" ht="20.25" hidden="1" customHeight="1">
      <c r="A201" s="129"/>
      <c r="B201" s="94"/>
      <c r="C201" s="94"/>
      <c r="D201" s="184"/>
      <c r="E201" s="94"/>
      <c r="F201" s="94"/>
      <c r="G201" s="385"/>
      <c r="H201" s="386"/>
      <c r="I201" s="201"/>
      <c r="J201" s="201"/>
      <c r="K201" s="386"/>
      <c r="L201" s="201"/>
      <c r="M201" s="388"/>
      <c r="N201" s="37"/>
      <c r="O201" s="389"/>
      <c r="P201" s="94"/>
      <c r="Q201" s="131"/>
      <c r="R201" s="165"/>
      <c r="S201" s="132"/>
      <c r="T201" s="201"/>
      <c r="U201" s="201"/>
      <c r="V201" s="95"/>
      <c r="X201" s="223"/>
      <c r="Y201" s="98"/>
      <c r="Z201" s="97"/>
      <c r="AA201" s="99"/>
    </row>
    <row r="202" spans="1:27" s="96" customFormat="1" ht="20.25" hidden="1" customHeight="1">
      <c r="A202" s="129"/>
      <c r="B202" s="94"/>
      <c r="C202" s="94"/>
      <c r="D202" s="184"/>
      <c r="E202" s="94"/>
      <c r="F202" s="94"/>
      <c r="G202" s="385"/>
      <c r="H202" s="386"/>
      <c r="I202" s="201"/>
      <c r="J202" s="201"/>
      <c r="K202" s="386"/>
      <c r="L202" s="201"/>
      <c r="M202" s="388"/>
      <c r="N202" s="37"/>
      <c r="O202" s="389"/>
      <c r="P202" s="94"/>
      <c r="Q202" s="131"/>
      <c r="R202" s="165"/>
      <c r="S202" s="132"/>
      <c r="T202" s="201"/>
      <c r="U202" s="201"/>
      <c r="V202" s="95"/>
      <c r="X202" s="223"/>
      <c r="Y202" s="98"/>
      <c r="Z202" s="97"/>
      <c r="AA202" s="99"/>
    </row>
    <row r="203" spans="1:27" s="96" customFormat="1" ht="20.25" hidden="1" customHeight="1">
      <c r="A203" s="129"/>
      <c r="B203" s="94"/>
      <c r="C203" s="94"/>
      <c r="D203" s="184"/>
      <c r="E203" s="94"/>
      <c r="F203" s="94"/>
      <c r="G203" s="385"/>
      <c r="H203" s="386"/>
      <c r="I203" s="201"/>
      <c r="J203" s="201"/>
      <c r="K203" s="386"/>
      <c r="L203" s="201"/>
      <c r="M203" s="388"/>
      <c r="N203" s="37"/>
      <c r="O203" s="389"/>
      <c r="P203" s="94"/>
      <c r="Q203" s="131"/>
      <c r="R203" s="165"/>
      <c r="S203" s="132"/>
      <c r="T203" s="201"/>
      <c r="U203" s="201"/>
      <c r="V203" s="95"/>
      <c r="X203" s="223"/>
      <c r="Y203" s="98"/>
      <c r="Z203" s="97"/>
      <c r="AA203" s="99"/>
    </row>
    <row r="204" spans="1:27" s="96" customFormat="1" ht="20.25" hidden="1" customHeight="1">
      <c r="A204" s="129"/>
      <c r="B204" s="94"/>
      <c r="C204" s="94"/>
      <c r="D204" s="184"/>
      <c r="E204" s="94"/>
      <c r="F204" s="94"/>
      <c r="G204" s="385"/>
      <c r="H204" s="386"/>
      <c r="I204" s="201"/>
      <c r="J204" s="201"/>
      <c r="K204" s="386"/>
      <c r="L204" s="201"/>
      <c r="M204" s="388"/>
      <c r="N204" s="37"/>
      <c r="O204" s="389"/>
      <c r="P204" s="94"/>
      <c r="Q204" s="201"/>
      <c r="R204" s="165"/>
      <c r="S204" s="132"/>
      <c r="T204" s="201"/>
      <c r="U204" s="201"/>
      <c r="V204" s="95"/>
      <c r="X204" s="223"/>
      <c r="Y204" s="98"/>
      <c r="Z204" s="97"/>
      <c r="AA204" s="99"/>
    </row>
    <row r="205" spans="1:27" s="96" customFormat="1" ht="20.25" hidden="1" customHeight="1">
      <c r="A205" s="129"/>
      <c r="B205" s="94"/>
      <c r="C205" s="94"/>
      <c r="D205" s="184"/>
      <c r="E205" s="94"/>
      <c r="F205" s="94"/>
      <c r="G205" s="385"/>
      <c r="H205" s="386"/>
      <c r="I205" s="201"/>
      <c r="J205" s="201"/>
      <c r="K205" s="386"/>
      <c r="L205" s="201"/>
      <c r="M205" s="388"/>
      <c r="N205" s="37"/>
      <c r="O205" s="389"/>
      <c r="P205" s="94"/>
      <c r="Q205" s="201"/>
      <c r="R205" s="165"/>
      <c r="S205" s="132"/>
      <c r="T205" s="201"/>
      <c r="U205" s="201"/>
      <c r="V205" s="95"/>
      <c r="X205" s="223"/>
      <c r="Y205" s="98"/>
      <c r="Z205" s="97"/>
      <c r="AA205" s="99"/>
    </row>
    <row r="206" spans="1:27" s="96" customFormat="1" ht="20.25" hidden="1" customHeight="1">
      <c r="A206" s="129"/>
      <c r="B206" s="94"/>
      <c r="C206" s="94"/>
      <c r="D206" s="184"/>
      <c r="E206" s="94"/>
      <c r="F206" s="94"/>
      <c r="G206" s="385"/>
      <c r="H206" s="386"/>
      <c r="I206" s="201"/>
      <c r="J206" s="201"/>
      <c r="K206" s="386"/>
      <c r="L206" s="201"/>
      <c r="M206" s="388"/>
      <c r="N206" s="37"/>
      <c r="O206" s="389"/>
      <c r="P206" s="94"/>
      <c r="Q206" s="201"/>
      <c r="R206" s="165"/>
      <c r="S206" s="132"/>
      <c r="T206" s="201"/>
      <c r="U206" s="201"/>
      <c r="V206" s="95"/>
      <c r="X206" s="223"/>
      <c r="Y206" s="98"/>
      <c r="Z206" s="97"/>
      <c r="AA206" s="99"/>
    </row>
    <row r="207" spans="1:27" s="96" customFormat="1" ht="20.25" hidden="1" customHeight="1">
      <c r="A207" s="129"/>
      <c r="B207" s="94"/>
      <c r="C207" s="94"/>
      <c r="D207" s="184"/>
      <c r="E207" s="94"/>
      <c r="F207" s="94"/>
      <c r="G207" s="385"/>
      <c r="H207" s="386"/>
      <c r="I207" s="201"/>
      <c r="J207" s="201"/>
      <c r="K207" s="386"/>
      <c r="L207" s="201"/>
      <c r="M207" s="388"/>
      <c r="N207" s="37"/>
      <c r="O207" s="389"/>
      <c r="P207" s="94"/>
      <c r="Q207" s="201"/>
      <c r="R207" s="165"/>
      <c r="S207" s="132"/>
      <c r="T207" s="201"/>
      <c r="U207" s="201"/>
      <c r="V207" s="95"/>
      <c r="X207" s="223"/>
      <c r="Y207" s="98"/>
      <c r="Z207" s="97"/>
      <c r="AA207" s="99"/>
    </row>
    <row r="208" spans="1:27" s="96" customFormat="1" ht="20.25" hidden="1" customHeight="1">
      <c r="A208" s="129"/>
      <c r="B208" s="94"/>
      <c r="C208" s="94"/>
      <c r="D208" s="184"/>
      <c r="E208" s="94"/>
      <c r="F208" s="94"/>
      <c r="G208" s="385"/>
      <c r="H208" s="386"/>
      <c r="I208" s="201"/>
      <c r="J208" s="201"/>
      <c r="K208" s="386"/>
      <c r="L208" s="201"/>
      <c r="M208" s="388"/>
      <c r="N208" s="37"/>
      <c r="O208" s="389"/>
      <c r="P208" s="94"/>
      <c r="Q208" s="201"/>
      <c r="R208" s="165"/>
      <c r="S208" s="132"/>
      <c r="T208" s="201"/>
      <c r="U208" s="201"/>
      <c r="V208" s="95"/>
      <c r="X208" s="223"/>
      <c r="Y208" s="98"/>
      <c r="Z208" s="97"/>
      <c r="AA208" s="99"/>
    </row>
    <row r="209" spans="1:27" s="96" customFormat="1" ht="20.25" hidden="1" customHeight="1">
      <c r="A209" s="129"/>
      <c r="B209" s="94"/>
      <c r="C209" s="94"/>
      <c r="D209" s="184"/>
      <c r="E209" s="94"/>
      <c r="F209" s="94"/>
      <c r="G209" s="385"/>
      <c r="H209" s="386"/>
      <c r="I209" s="201"/>
      <c r="J209" s="201"/>
      <c r="K209" s="386"/>
      <c r="L209" s="201"/>
      <c r="M209" s="388"/>
      <c r="N209" s="37"/>
      <c r="O209" s="389"/>
      <c r="P209" s="94"/>
      <c r="Q209" s="201"/>
      <c r="R209" s="165"/>
      <c r="S209" s="132"/>
      <c r="T209" s="201"/>
      <c r="U209" s="201"/>
      <c r="V209" s="95"/>
      <c r="X209" s="223"/>
      <c r="Y209" s="98"/>
      <c r="Z209" s="97"/>
      <c r="AA209" s="99"/>
    </row>
    <row r="210" spans="1:27" s="96" customFormat="1" ht="20.25" hidden="1" customHeight="1">
      <c r="A210" s="129"/>
      <c r="B210" s="94"/>
      <c r="C210" s="94"/>
      <c r="D210" s="184"/>
      <c r="E210" s="94"/>
      <c r="F210" s="94"/>
      <c r="G210" s="385"/>
      <c r="H210" s="386"/>
      <c r="I210" s="201"/>
      <c r="J210" s="201"/>
      <c r="K210" s="386"/>
      <c r="L210" s="201"/>
      <c r="M210" s="388"/>
      <c r="N210" s="37"/>
      <c r="O210" s="389"/>
      <c r="P210" s="94"/>
      <c r="Q210" s="201"/>
      <c r="R210" s="165"/>
      <c r="S210" s="132"/>
      <c r="T210" s="201"/>
      <c r="U210" s="201"/>
      <c r="V210" s="95"/>
      <c r="X210" s="223"/>
      <c r="Y210" s="98"/>
      <c r="Z210" s="97"/>
      <c r="AA210" s="99"/>
    </row>
    <row r="211" spans="1:27" s="96" customFormat="1" ht="20.25" hidden="1" customHeight="1">
      <c r="A211" s="129"/>
      <c r="B211" s="94"/>
      <c r="C211" s="94"/>
      <c r="D211" s="184"/>
      <c r="E211" s="94"/>
      <c r="F211" s="94"/>
      <c r="G211" s="385"/>
      <c r="H211" s="386"/>
      <c r="I211" s="201"/>
      <c r="J211" s="201"/>
      <c r="K211" s="386"/>
      <c r="L211" s="201"/>
      <c r="M211" s="388"/>
      <c r="N211" s="37"/>
      <c r="O211" s="389"/>
      <c r="P211" s="94"/>
      <c r="Q211" s="201"/>
      <c r="R211" s="165"/>
      <c r="S211" s="132"/>
      <c r="T211" s="201"/>
      <c r="U211" s="201"/>
      <c r="V211" s="95"/>
      <c r="X211" s="223"/>
      <c r="Y211" s="98"/>
      <c r="Z211" s="97"/>
      <c r="AA211" s="99"/>
    </row>
    <row r="212" spans="1:27" s="96" customFormat="1" hidden="1">
      <c r="A212" s="129"/>
      <c r="B212" s="94"/>
      <c r="C212" s="94"/>
      <c r="D212" s="184"/>
      <c r="E212" s="94"/>
      <c r="F212" s="94"/>
      <c r="G212" s="385"/>
      <c r="H212" s="386"/>
      <c r="I212" s="201"/>
      <c r="J212" s="201"/>
      <c r="K212" s="386"/>
      <c r="L212" s="201"/>
      <c r="M212" s="388"/>
      <c r="N212" s="37"/>
      <c r="O212" s="389"/>
      <c r="P212" s="94"/>
      <c r="Q212" s="201"/>
      <c r="R212" s="165"/>
      <c r="S212" s="132"/>
      <c r="T212" s="201"/>
      <c r="U212" s="201"/>
      <c r="V212" s="95"/>
      <c r="X212" s="223"/>
      <c r="Y212" s="98"/>
      <c r="Z212" s="97"/>
      <c r="AA212" s="99"/>
    </row>
    <row r="213" spans="1:27" s="96" customFormat="1" hidden="1">
      <c r="A213" s="129"/>
      <c r="B213" s="94"/>
      <c r="C213" s="94"/>
      <c r="D213" s="184"/>
      <c r="E213" s="94"/>
      <c r="F213" s="94"/>
      <c r="G213" s="385"/>
      <c r="H213" s="386"/>
      <c r="I213" s="201"/>
      <c r="J213" s="201"/>
      <c r="K213" s="386"/>
      <c r="L213" s="201"/>
      <c r="M213" s="388"/>
      <c r="N213" s="37"/>
      <c r="O213" s="389"/>
      <c r="P213" s="94"/>
      <c r="Q213" s="201"/>
      <c r="R213" s="165"/>
      <c r="S213" s="132"/>
      <c r="T213" s="201"/>
      <c r="U213" s="201"/>
      <c r="V213" s="95"/>
      <c r="X213" s="223"/>
      <c r="Y213" s="98"/>
      <c r="Z213" s="97"/>
      <c r="AA213" s="99"/>
    </row>
    <row r="214" spans="1:27" s="96" customFormat="1" hidden="1">
      <c r="A214" s="129"/>
      <c r="B214" s="94"/>
      <c r="C214" s="94"/>
      <c r="D214" s="184"/>
      <c r="E214" s="94"/>
      <c r="F214" s="94"/>
      <c r="G214" s="385"/>
      <c r="H214" s="386"/>
      <c r="I214" s="201"/>
      <c r="J214" s="201"/>
      <c r="K214" s="386"/>
      <c r="L214" s="201"/>
      <c r="M214" s="388"/>
      <c r="N214" s="37"/>
      <c r="O214" s="389"/>
      <c r="P214" s="94"/>
      <c r="Q214" s="131"/>
      <c r="R214" s="165"/>
      <c r="S214" s="132"/>
      <c r="T214" s="201"/>
      <c r="U214" s="201"/>
      <c r="V214" s="95"/>
      <c r="X214" s="223"/>
      <c r="Y214" s="98"/>
      <c r="Z214" s="97"/>
      <c r="AA214" s="99"/>
    </row>
    <row r="215" spans="1:27" s="96" customFormat="1" hidden="1">
      <c r="A215" s="129"/>
      <c r="B215" s="94"/>
      <c r="C215" s="94"/>
      <c r="D215" s="184"/>
      <c r="E215" s="94"/>
      <c r="F215" s="94"/>
      <c r="G215" s="385"/>
      <c r="H215" s="386"/>
      <c r="I215" s="201"/>
      <c r="J215" s="201"/>
      <c r="K215" s="386"/>
      <c r="L215" s="201"/>
      <c r="M215" s="388"/>
      <c r="N215" s="37"/>
      <c r="O215" s="389"/>
      <c r="P215" s="94"/>
      <c r="Q215" s="201"/>
      <c r="R215" s="165"/>
      <c r="S215" s="132"/>
      <c r="T215" s="201"/>
      <c r="U215" s="201"/>
      <c r="V215" s="95"/>
      <c r="X215" s="223"/>
      <c r="Y215" s="98"/>
      <c r="Z215" s="97"/>
      <c r="AA215" s="99"/>
    </row>
    <row r="216" spans="1:27" s="96" customFormat="1" hidden="1">
      <c r="A216" s="129"/>
      <c r="B216" s="94"/>
      <c r="C216" s="94"/>
      <c r="D216" s="184"/>
      <c r="E216" s="94"/>
      <c r="F216" s="94"/>
      <c r="G216" s="385"/>
      <c r="H216" s="386"/>
      <c r="I216" s="201"/>
      <c r="J216" s="201"/>
      <c r="K216" s="386"/>
      <c r="L216" s="201"/>
      <c r="M216" s="388"/>
      <c r="N216" s="37"/>
      <c r="O216" s="389"/>
      <c r="P216" s="94"/>
      <c r="Q216" s="131"/>
      <c r="R216" s="165"/>
      <c r="S216" s="132"/>
      <c r="T216" s="201"/>
      <c r="U216" s="201"/>
      <c r="V216" s="95"/>
      <c r="X216" s="223"/>
      <c r="Y216" s="98"/>
      <c r="Z216" s="97"/>
      <c r="AA216" s="99"/>
    </row>
    <row r="217" spans="1:27" s="96" customFormat="1" hidden="1">
      <c r="A217" s="129"/>
      <c r="B217" s="94"/>
      <c r="C217" s="94"/>
      <c r="D217" s="184"/>
      <c r="E217" s="94"/>
      <c r="F217" s="94"/>
      <c r="G217" s="385"/>
      <c r="H217" s="386"/>
      <c r="I217" s="201"/>
      <c r="J217" s="201"/>
      <c r="K217" s="386"/>
      <c r="L217" s="201"/>
      <c r="M217" s="388"/>
      <c r="N217" s="37"/>
      <c r="O217" s="389"/>
      <c r="P217" s="94"/>
      <c r="Q217" s="131"/>
      <c r="R217" s="165"/>
      <c r="S217" s="132"/>
      <c r="T217" s="201"/>
      <c r="U217" s="201"/>
      <c r="V217" s="95"/>
      <c r="X217" s="223"/>
      <c r="Y217" s="98"/>
      <c r="Z217" s="97"/>
      <c r="AA217" s="99"/>
    </row>
    <row r="218" spans="1:27" s="96" customFormat="1" hidden="1">
      <c r="A218" s="129"/>
      <c r="B218" s="94"/>
      <c r="C218" s="94"/>
      <c r="D218" s="184"/>
      <c r="E218" s="94"/>
      <c r="F218" s="94"/>
      <c r="G218" s="385"/>
      <c r="H218" s="386"/>
      <c r="I218" s="201"/>
      <c r="J218" s="201"/>
      <c r="K218" s="386"/>
      <c r="L218" s="201"/>
      <c r="M218" s="388"/>
      <c r="N218" s="37"/>
      <c r="O218" s="389"/>
      <c r="P218" s="94"/>
      <c r="Q218" s="131"/>
      <c r="R218" s="165"/>
      <c r="S218" s="132"/>
      <c r="T218" s="201"/>
      <c r="U218" s="201"/>
      <c r="V218" s="95"/>
      <c r="X218" s="223"/>
      <c r="Y218" s="98"/>
      <c r="Z218" s="97"/>
      <c r="AA218" s="99"/>
    </row>
    <row r="219" spans="1:27" s="96" customFormat="1" hidden="1">
      <c r="A219" s="129"/>
      <c r="B219" s="94"/>
      <c r="C219" s="94"/>
      <c r="D219" s="184"/>
      <c r="E219" s="94"/>
      <c r="F219" s="94"/>
      <c r="G219" s="385"/>
      <c r="H219" s="386"/>
      <c r="I219" s="201"/>
      <c r="J219" s="201"/>
      <c r="K219" s="386"/>
      <c r="L219" s="386"/>
      <c r="M219" s="388"/>
      <c r="N219" s="37"/>
      <c r="O219" s="389"/>
      <c r="P219" s="94"/>
      <c r="Q219" s="131"/>
      <c r="R219" s="165"/>
      <c r="S219" s="132"/>
      <c r="T219" s="201"/>
      <c r="U219" s="201"/>
      <c r="V219" s="95"/>
      <c r="X219" s="223"/>
      <c r="Y219" s="98"/>
      <c r="Z219" s="97"/>
      <c r="AA219" s="99"/>
    </row>
    <row r="220" spans="1:27" s="96" customFormat="1" hidden="1">
      <c r="A220" s="129"/>
      <c r="B220" s="94"/>
      <c r="C220" s="94"/>
      <c r="D220" s="184"/>
      <c r="E220" s="94"/>
      <c r="F220" s="94"/>
      <c r="G220" s="385"/>
      <c r="H220" s="386"/>
      <c r="I220" s="201"/>
      <c r="J220" s="201"/>
      <c r="K220" s="386"/>
      <c r="L220" s="386"/>
      <c r="M220" s="388"/>
      <c r="N220" s="37"/>
      <c r="O220" s="389"/>
      <c r="P220" s="94"/>
      <c r="Q220" s="131"/>
      <c r="R220" s="165"/>
      <c r="S220" s="132"/>
      <c r="T220" s="201"/>
      <c r="U220" s="201"/>
      <c r="V220" s="95"/>
      <c r="X220" s="223"/>
      <c r="Y220" s="98"/>
      <c r="Z220" s="97"/>
      <c r="AA220" s="99"/>
    </row>
    <row r="221" spans="1:27" s="96" customFormat="1" hidden="1">
      <c r="A221" s="129"/>
      <c r="B221" s="94"/>
      <c r="C221" s="94"/>
      <c r="D221" s="184"/>
      <c r="E221" s="94"/>
      <c r="F221" s="94"/>
      <c r="G221" s="385"/>
      <c r="H221" s="386"/>
      <c r="I221" s="201"/>
      <c r="J221" s="201"/>
      <c r="K221" s="386"/>
      <c r="L221" s="386"/>
      <c r="M221" s="388"/>
      <c r="N221" s="37"/>
      <c r="O221" s="389"/>
      <c r="P221" s="94"/>
      <c r="Q221" s="131"/>
      <c r="R221" s="165"/>
      <c r="S221" s="132"/>
      <c r="T221" s="201"/>
      <c r="U221" s="201"/>
      <c r="V221" s="95"/>
      <c r="X221" s="223"/>
      <c r="Y221" s="98"/>
      <c r="Z221" s="97"/>
      <c r="AA221" s="99"/>
    </row>
    <row r="222" spans="1:27" s="96" customFormat="1">
      <c r="A222" s="129"/>
      <c r="B222" s="94"/>
      <c r="C222" s="94"/>
      <c r="D222" s="184"/>
      <c r="E222" s="94"/>
      <c r="F222" s="94"/>
      <c r="G222" s="385"/>
      <c r="H222" s="386"/>
      <c r="I222" s="201"/>
      <c r="J222" s="201"/>
      <c r="K222" s="386"/>
      <c r="L222" s="386"/>
      <c r="M222" s="388"/>
      <c r="N222" s="37"/>
      <c r="O222" s="389"/>
      <c r="P222" s="94"/>
      <c r="Q222" s="131"/>
      <c r="R222" s="165"/>
      <c r="S222" s="132"/>
      <c r="T222" s="201"/>
      <c r="U222" s="201"/>
      <c r="V222" s="95"/>
      <c r="X222" s="223"/>
      <c r="Y222" s="98"/>
      <c r="Z222" s="97"/>
      <c r="AA222" s="99"/>
    </row>
    <row r="223" spans="1:27" s="96" customFormat="1" hidden="1">
      <c r="A223" s="129"/>
      <c r="B223" s="94"/>
      <c r="C223" s="94"/>
      <c r="D223" s="184"/>
      <c r="E223" s="94"/>
      <c r="F223" s="94"/>
      <c r="G223" s="385"/>
      <c r="H223" s="386"/>
      <c r="I223" s="201"/>
      <c r="J223" s="201"/>
      <c r="K223" s="386"/>
      <c r="L223" s="201"/>
      <c r="M223" s="388"/>
      <c r="N223" s="37"/>
      <c r="O223" s="389"/>
      <c r="P223" s="94"/>
      <c r="Q223" s="131"/>
      <c r="R223" s="165"/>
      <c r="S223" s="132"/>
      <c r="T223" s="201"/>
      <c r="U223" s="201"/>
      <c r="V223" s="95"/>
      <c r="X223" s="223"/>
      <c r="Y223" s="98"/>
      <c r="Z223" s="97"/>
      <c r="AA223" s="99"/>
    </row>
    <row r="224" spans="1:27" s="96" customFormat="1" hidden="1">
      <c r="A224" s="129"/>
      <c r="B224" s="94"/>
      <c r="C224" s="94"/>
      <c r="D224" s="184"/>
      <c r="E224" s="94"/>
      <c r="F224" s="94"/>
      <c r="G224" s="385"/>
      <c r="H224" s="386"/>
      <c r="I224" s="201"/>
      <c r="J224" s="201"/>
      <c r="K224" s="386"/>
      <c r="L224" s="201"/>
      <c r="M224" s="388"/>
      <c r="N224" s="37"/>
      <c r="O224" s="389"/>
      <c r="P224" s="94"/>
      <c r="Q224" s="131"/>
      <c r="R224" s="165"/>
      <c r="S224" s="132"/>
      <c r="T224" s="201"/>
      <c r="U224" s="201"/>
      <c r="V224" s="95"/>
      <c r="X224" s="223"/>
      <c r="Y224" s="98"/>
      <c r="Z224" s="97"/>
      <c r="AA224" s="99"/>
    </row>
    <row r="225" spans="1:27" s="96" customFormat="1" hidden="1">
      <c r="A225" s="129"/>
      <c r="B225" s="94"/>
      <c r="C225" s="94"/>
      <c r="D225" s="184"/>
      <c r="E225" s="94"/>
      <c r="F225" s="94"/>
      <c r="G225" s="385"/>
      <c r="H225" s="386"/>
      <c r="I225" s="201"/>
      <c r="J225" s="201"/>
      <c r="K225" s="386"/>
      <c r="L225" s="201"/>
      <c r="M225" s="388"/>
      <c r="N225" s="37"/>
      <c r="O225" s="389"/>
      <c r="P225" s="94"/>
      <c r="Q225" s="131"/>
      <c r="R225" s="165"/>
      <c r="S225" s="132"/>
      <c r="T225" s="201"/>
      <c r="U225" s="201"/>
      <c r="V225" s="95"/>
      <c r="X225" s="223"/>
      <c r="Y225" s="98"/>
      <c r="Z225" s="97"/>
      <c r="AA225" s="99"/>
    </row>
    <row r="226" spans="1:27" s="96" customFormat="1" hidden="1">
      <c r="A226" s="129"/>
      <c r="B226" s="94"/>
      <c r="C226" s="94"/>
      <c r="D226" s="184"/>
      <c r="E226" s="94"/>
      <c r="F226" s="94"/>
      <c r="G226" s="385"/>
      <c r="H226" s="386"/>
      <c r="I226" s="201"/>
      <c r="J226" s="201"/>
      <c r="K226" s="386"/>
      <c r="L226" s="201"/>
      <c r="M226" s="388"/>
      <c r="N226" s="37"/>
      <c r="O226" s="389"/>
      <c r="P226" s="94"/>
      <c r="Q226" s="131"/>
      <c r="R226" s="165"/>
      <c r="S226" s="132"/>
      <c r="T226" s="201"/>
      <c r="U226" s="201"/>
      <c r="V226" s="95"/>
      <c r="X226" s="223"/>
      <c r="Y226" s="98"/>
      <c r="Z226" s="97"/>
      <c r="AA226" s="99"/>
    </row>
    <row r="227" spans="1:27" s="96" customFormat="1" hidden="1">
      <c r="A227" s="129"/>
      <c r="B227" s="94"/>
      <c r="C227" s="94"/>
      <c r="D227" s="184"/>
      <c r="E227" s="94"/>
      <c r="F227" s="94"/>
      <c r="G227" s="385"/>
      <c r="H227" s="386"/>
      <c r="I227" s="201"/>
      <c r="J227" s="201"/>
      <c r="K227" s="386"/>
      <c r="L227" s="201"/>
      <c r="M227" s="388"/>
      <c r="N227" s="37"/>
      <c r="O227" s="389"/>
      <c r="P227" s="94"/>
      <c r="Q227" s="131"/>
      <c r="R227" s="165"/>
      <c r="S227" s="132"/>
      <c r="T227" s="201"/>
      <c r="U227" s="201"/>
      <c r="V227" s="95"/>
      <c r="X227" s="223"/>
      <c r="Y227" s="98"/>
      <c r="Z227" s="97"/>
      <c r="AA227" s="99"/>
    </row>
    <row r="228" spans="1:27" s="96" customFormat="1">
      <c r="A228" s="129"/>
      <c r="B228" s="94"/>
      <c r="C228" s="94"/>
      <c r="D228" s="184"/>
      <c r="E228" s="94"/>
      <c r="F228" s="394"/>
      <c r="G228" s="394"/>
      <c r="H228" s="396"/>
      <c r="I228" s="396"/>
      <c r="J228" s="397"/>
      <c r="K228" s="396"/>
      <c r="L228" s="201"/>
      <c r="M228" s="388"/>
      <c r="N228" s="37"/>
      <c r="O228" s="389"/>
      <c r="P228" s="94"/>
      <c r="Q228" s="131"/>
      <c r="R228" s="165"/>
      <c r="S228" s="132"/>
      <c r="T228" s="131"/>
      <c r="U228" s="131"/>
      <c r="V228" s="95"/>
      <c r="X228" s="223"/>
      <c r="Y228" s="98"/>
      <c r="Z228" s="97"/>
      <c r="AA228" s="99"/>
    </row>
    <row r="229" spans="1:27" s="96" customFormat="1">
      <c r="A229" s="129"/>
      <c r="B229" s="94"/>
      <c r="C229" s="94"/>
      <c r="D229" s="184"/>
      <c r="E229" s="94"/>
      <c r="F229" s="394"/>
      <c r="G229" s="394"/>
      <c r="H229" s="396"/>
      <c r="I229" s="396"/>
      <c r="J229" s="397"/>
      <c r="K229" s="396"/>
      <c r="L229" s="201"/>
      <c r="M229" s="388"/>
      <c r="N229" s="37"/>
      <c r="O229" s="389"/>
      <c r="P229" s="94"/>
      <c r="Q229" s="131"/>
      <c r="R229" s="165"/>
      <c r="S229" s="132"/>
      <c r="T229" s="131"/>
      <c r="U229" s="131"/>
      <c r="V229" s="95"/>
      <c r="X229" s="223"/>
      <c r="Y229" s="98"/>
      <c r="Z229" s="97"/>
      <c r="AA229" s="99"/>
    </row>
    <row r="230" spans="1:27" s="96" customFormat="1" hidden="1">
      <c r="A230" s="129"/>
      <c r="B230" s="94"/>
      <c r="C230" s="94"/>
      <c r="D230" s="184"/>
      <c r="E230" s="94"/>
      <c r="F230" s="394"/>
      <c r="G230" s="394"/>
      <c r="H230" s="396"/>
      <c r="I230" s="396"/>
      <c r="J230" s="397"/>
      <c r="K230" s="396"/>
      <c r="L230" s="201"/>
      <c r="M230" s="388"/>
      <c r="N230" s="37"/>
      <c r="O230" s="389"/>
      <c r="P230" s="94"/>
      <c r="Q230" s="131"/>
      <c r="R230" s="165"/>
      <c r="S230" s="132"/>
      <c r="T230" s="201"/>
      <c r="U230" s="201"/>
      <c r="V230" s="95"/>
      <c r="X230" s="223"/>
      <c r="Y230" s="98"/>
      <c r="Z230" s="97"/>
      <c r="AA230" s="99"/>
    </row>
    <row r="231" spans="1:27" s="96" customFormat="1" hidden="1">
      <c r="A231" s="129"/>
      <c r="B231" s="94"/>
      <c r="C231" s="94"/>
      <c r="D231" s="184"/>
      <c r="E231" s="94"/>
      <c r="F231" s="394"/>
      <c r="G231" s="394"/>
      <c r="H231" s="395"/>
      <c r="I231" s="396"/>
      <c r="J231" s="397"/>
      <c r="K231" s="395"/>
      <c r="L231" s="201"/>
      <c r="M231" s="388"/>
      <c r="N231" s="37"/>
      <c r="O231" s="389"/>
      <c r="P231" s="94"/>
      <c r="Q231" s="131"/>
      <c r="R231" s="165"/>
      <c r="S231" s="132"/>
      <c r="T231" s="201"/>
      <c r="U231" s="201"/>
      <c r="V231" s="95"/>
      <c r="X231" s="223"/>
      <c r="Y231" s="98"/>
      <c r="Z231" s="97"/>
      <c r="AA231" s="99"/>
    </row>
    <row r="232" spans="1:27" s="96" customFormat="1" hidden="1">
      <c r="A232" s="129"/>
      <c r="B232" s="94"/>
      <c r="C232" s="94"/>
      <c r="D232" s="184"/>
      <c r="E232" s="94"/>
      <c r="F232" s="394"/>
      <c r="G232" s="394"/>
      <c r="H232" s="395"/>
      <c r="I232" s="396"/>
      <c r="J232" s="397"/>
      <c r="K232" s="395"/>
      <c r="L232" s="201"/>
      <c r="M232" s="388"/>
      <c r="N232" s="37"/>
      <c r="O232" s="389"/>
      <c r="P232" s="94"/>
      <c r="Q232" s="131"/>
      <c r="R232" s="165"/>
      <c r="S232" s="132"/>
      <c r="T232" s="201"/>
      <c r="U232" s="201"/>
      <c r="V232" s="95"/>
      <c r="X232" s="223"/>
      <c r="Y232" s="98"/>
      <c r="Z232" s="97"/>
      <c r="AA232" s="99"/>
    </row>
    <row r="233" spans="1:27" s="96" customFormat="1" hidden="1">
      <c r="A233" s="129"/>
      <c r="B233" s="94"/>
      <c r="C233" s="94"/>
      <c r="D233" s="184"/>
      <c r="E233" s="94"/>
      <c r="F233" s="394"/>
      <c r="G233" s="394"/>
      <c r="H233" s="396"/>
      <c r="I233" s="396"/>
      <c r="J233" s="397"/>
      <c r="K233" s="396"/>
      <c r="L233" s="201"/>
      <c r="M233" s="388"/>
      <c r="N233" s="37"/>
      <c r="O233" s="389"/>
      <c r="P233" s="94"/>
      <c r="Q233" s="131"/>
      <c r="R233" s="165"/>
      <c r="S233" s="132"/>
      <c r="T233" s="201"/>
      <c r="U233" s="201"/>
      <c r="V233" s="95"/>
      <c r="X233" s="223"/>
      <c r="Y233" s="98"/>
      <c r="Z233" s="97"/>
      <c r="AA233" s="99"/>
    </row>
    <row r="234" spans="1:27" s="96" customFormat="1" hidden="1">
      <c r="A234" s="129"/>
      <c r="B234" s="94"/>
      <c r="C234" s="94"/>
      <c r="D234" s="184"/>
      <c r="E234" s="94"/>
      <c r="F234" s="394"/>
      <c r="G234" s="394"/>
      <c r="H234" s="395"/>
      <c r="I234" s="396"/>
      <c r="J234" s="397"/>
      <c r="K234" s="395"/>
      <c r="L234" s="201"/>
      <c r="M234" s="388"/>
      <c r="N234" s="37"/>
      <c r="O234" s="389"/>
      <c r="P234" s="94"/>
      <c r="Q234" s="131"/>
      <c r="R234" s="165"/>
      <c r="S234" s="132"/>
      <c r="T234" s="201"/>
      <c r="U234" s="201"/>
      <c r="V234" s="95"/>
      <c r="X234" s="223"/>
      <c r="Y234" s="98"/>
      <c r="Z234" s="97"/>
      <c r="AA234" s="99"/>
    </row>
    <row r="235" spans="1:27" s="96" customFormat="1" hidden="1">
      <c r="A235" s="129"/>
      <c r="B235" s="94"/>
      <c r="C235" s="94"/>
      <c r="D235" s="184"/>
      <c r="E235" s="94"/>
      <c r="F235" s="394"/>
      <c r="G235" s="394"/>
      <c r="H235" s="395"/>
      <c r="I235" s="396"/>
      <c r="J235" s="397"/>
      <c r="K235" s="395"/>
      <c r="L235" s="201"/>
      <c r="M235" s="388"/>
      <c r="N235" s="37"/>
      <c r="O235" s="389"/>
      <c r="P235" s="94"/>
      <c r="Q235" s="131"/>
      <c r="R235" s="165"/>
      <c r="S235" s="132"/>
      <c r="T235" s="201"/>
      <c r="U235" s="201"/>
      <c r="V235" s="95"/>
      <c r="X235" s="223"/>
      <c r="Y235" s="98"/>
      <c r="Z235" s="97"/>
      <c r="AA235" s="99"/>
    </row>
    <row r="236" spans="1:27" s="96" customFormat="1" hidden="1">
      <c r="A236" s="129"/>
      <c r="B236" s="94"/>
      <c r="C236" s="94"/>
      <c r="D236" s="184"/>
      <c r="E236" s="94"/>
      <c r="F236" s="394"/>
      <c r="G236" s="394"/>
      <c r="H236" s="395"/>
      <c r="I236" s="396"/>
      <c r="J236" s="397"/>
      <c r="K236" s="395"/>
      <c r="L236" s="201"/>
      <c r="M236" s="388"/>
      <c r="N236" s="37"/>
      <c r="O236" s="389"/>
      <c r="P236" s="94"/>
      <c r="Q236" s="131"/>
      <c r="R236" s="165"/>
      <c r="S236" s="132"/>
      <c r="T236" s="201"/>
      <c r="U236" s="201"/>
      <c r="V236" s="95"/>
      <c r="X236" s="223"/>
      <c r="Y236" s="98"/>
      <c r="Z236" s="97"/>
      <c r="AA236" s="99"/>
    </row>
    <row r="237" spans="1:27" s="96" customFormat="1" hidden="1">
      <c r="A237" s="129"/>
      <c r="B237" s="94"/>
      <c r="C237" s="94"/>
      <c r="D237" s="184"/>
      <c r="E237" s="94"/>
      <c r="F237" s="394"/>
      <c r="G237" s="394"/>
      <c r="H237" s="395"/>
      <c r="I237" s="396"/>
      <c r="J237" s="397"/>
      <c r="K237" s="395"/>
      <c r="L237" s="201"/>
      <c r="M237" s="388"/>
      <c r="N237" s="37"/>
      <c r="O237" s="389"/>
      <c r="P237" s="94"/>
      <c r="Q237" s="131"/>
      <c r="R237" s="165"/>
      <c r="S237" s="132"/>
      <c r="T237" s="201"/>
      <c r="U237" s="201"/>
      <c r="V237" s="95"/>
      <c r="X237" s="223"/>
      <c r="Y237" s="98"/>
      <c r="Z237" s="97"/>
      <c r="AA237" s="99"/>
    </row>
    <row r="238" spans="1:27" s="96" customFormat="1" hidden="1">
      <c r="A238" s="129"/>
      <c r="B238" s="94"/>
      <c r="C238" s="94"/>
      <c r="D238" s="184"/>
      <c r="E238" s="94"/>
      <c r="F238" s="394"/>
      <c r="G238" s="394"/>
      <c r="H238" s="395"/>
      <c r="I238" s="396"/>
      <c r="J238" s="397"/>
      <c r="K238" s="395"/>
      <c r="L238" s="201"/>
      <c r="M238" s="388"/>
      <c r="N238" s="37"/>
      <c r="O238" s="389"/>
      <c r="P238" s="94"/>
      <c r="Q238" s="131"/>
      <c r="R238" s="165"/>
      <c r="S238" s="132"/>
      <c r="T238" s="201"/>
      <c r="U238" s="201"/>
      <c r="V238" s="95"/>
      <c r="X238" s="223"/>
      <c r="Y238" s="98"/>
      <c r="Z238" s="97"/>
      <c r="AA238" s="99"/>
    </row>
    <row r="239" spans="1:27" s="96" customFormat="1" hidden="1">
      <c r="A239" s="129"/>
      <c r="B239" s="94"/>
      <c r="C239" s="94"/>
      <c r="D239" s="184"/>
      <c r="E239" s="94"/>
      <c r="F239" s="394"/>
      <c r="G239" s="394"/>
      <c r="H239" s="395"/>
      <c r="I239" s="396"/>
      <c r="J239" s="397"/>
      <c r="K239" s="395"/>
      <c r="L239" s="201"/>
      <c r="M239" s="388"/>
      <c r="N239" s="37"/>
      <c r="O239" s="389"/>
      <c r="P239" s="94"/>
      <c r="Q239" s="131"/>
      <c r="R239" s="165"/>
      <c r="S239" s="132"/>
      <c r="T239" s="201"/>
      <c r="U239" s="201"/>
      <c r="V239" s="95"/>
      <c r="X239" s="223"/>
      <c r="Y239" s="98"/>
      <c r="Z239" s="97"/>
      <c r="AA239" s="99"/>
    </row>
    <row r="240" spans="1:27" s="96" customFormat="1" hidden="1">
      <c r="A240" s="129"/>
      <c r="B240" s="94"/>
      <c r="C240" s="94"/>
      <c r="D240" s="184"/>
      <c r="E240" s="94"/>
      <c r="F240" s="394"/>
      <c r="G240" s="394"/>
      <c r="H240" s="396"/>
      <c r="I240" s="396"/>
      <c r="J240" s="397"/>
      <c r="K240" s="396"/>
      <c r="L240" s="201"/>
      <c r="M240" s="388"/>
      <c r="N240" s="37"/>
      <c r="O240" s="389"/>
      <c r="P240" s="94"/>
      <c r="Q240" s="131"/>
      <c r="R240" s="165"/>
      <c r="S240" s="132"/>
      <c r="T240" s="201"/>
      <c r="U240" s="201"/>
      <c r="V240" s="95"/>
      <c r="X240" s="223"/>
      <c r="Y240" s="98"/>
      <c r="Z240" s="97"/>
      <c r="AA240" s="99"/>
    </row>
    <row r="241" spans="1:27" s="96" customFormat="1" hidden="1">
      <c r="A241" s="129"/>
      <c r="B241" s="94"/>
      <c r="C241" s="94"/>
      <c r="D241" s="184"/>
      <c r="E241" s="94"/>
      <c r="F241" s="394"/>
      <c r="G241" s="394"/>
      <c r="H241" s="396"/>
      <c r="I241" s="396"/>
      <c r="J241" s="397"/>
      <c r="K241" s="396"/>
      <c r="L241" s="201"/>
      <c r="M241" s="388"/>
      <c r="N241" s="37"/>
      <c r="O241" s="389"/>
      <c r="P241" s="94"/>
      <c r="Q241" s="131"/>
      <c r="R241" s="165"/>
      <c r="S241" s="132"/>
      <c r="T241" s="201"/>
      <c r="U241" s="201"/>
      <c r="V241" s="95"/>
      <c r="X241" s="223"/>
      <c r="Y241" s="98"/>
      <c r="Z241" s="97"/>
      <c r="AA241" s="99"/>
    </row>
    <row r="242" spans="1:27" s="96" customFormat="1" hidden="1">
      <c r="A242" s="129"/>
      <c r="B242" s="94"/>
      <c r="C242" s="94"/>
      <c r="D242" s="184"/>
      <c r="E242" s="94"/>
      <c r="F242" s="394"/>
      <c r="G242" s="394"/>
      <c r="H242" s="396"/>
      <c r="I242" s="396"/>
      <c r="J242" s="397"/>
      <c r="K242" s="396"/>
      <c r="L242" s="201"/>
      <c r="M242" s="388"/>
      <c r="N242" s="37"/>
      <c r="O242" s="389"/>
      <c r="P242" s="94"/>
      <c r="Q242" s="131"/>
      <c r="R242" s="165"/>
      <c r="S242" s="132"/>
      <c r="T242" s="201"/>
      <c r="U242" s="201"/>
      <c r="V242" s="95"/>
      <c r="X242" s="223"/>
      <c r="Y242" s="98"/>
      <c r="Z242" s="97"/>
      <c r="AA242" s="99"/>
    </row>
    <row r="243" spans="1:27" s="96" customFormat="1" hidden="1">
      <c r="A243" s="129"/>
      <c r="B243" s="94"/>
      <c r="C243" s="94"/>
      <c r="D243" s="184"/>
      <c r="E243" s="94"/>
      <c r="F243" s="394"/>
      <c r="G243" s="394"/>
      <c r="H243" s="395"/>
      <c r="I243" s="396"/>
      <c r="J243" s="397"/>
      <c r="K243" s="395"/>
      <c r="L243" s="201"/>
      <c r="M243" s="388"/>
      <c r="N243" s="37"/>
      <c r="O243" s="389"/>
      <c r="P243" s="94"/>
      <c r="Q243" s="131"/>
      <c r="R243" s="165"/>
      <c r="S243" s="132"/>
      <c r="T243" s="201"/>
      <c r="U243" s="201"/>
      <c r="V243" s="95"/>
      <c r="X243" s="223"/>
      <c r="Y243" s="98"/>
      <c r="Z243" s="97"/>
      <c r="AA243" s="99"/>
    </row>
    <row r="244" spans="1:27" s="96" customFormat="1" hidden="1">
      <c r="A244" s="129"/>
      <c r="B244" s="94"/>
      <c r="C244" s="94"/>
      <c r="D244" s="184"/>
      <c r="E244" s="94"/>
      <c r="F244" s="394"/>
      <c r="G244" s="394"/>
      <c r="H244" s="396"/>
      <c r="I244" s="396"/>
      <c r="J244" s="397"/>
      <c r="K244" s="396"/>
      <c r="L244" s="201"/>
      <c r="M244" s="388"/>
      <c r="N244" s="37"/>
      <c r="O244" s="389"/>
      <c r="P244" s="94"/>
      <c r="Q244" s="131"/>
      <c r="R244" s="165"/>
      <c r="S244" s="132"/>
      <c r="T244" s="201"/>
      <c r="U244" s="201"/>
      <c r="V244" s="95"/>
      <c r="X244" s="223"/>
      <c r="Y244" s="98"/>
      <c r="Z244" s="97"/>
      <c r="AA244" s="99"/>
    </row>
    <row r="245" spans="1:27" s="96" customFormat="1" ht="24" hidden="1" customHeight="1">
      <c r="A245" s="129"/>
      <c r="B245" s="94"/>
      <c r="C245" s="94"/>
      <c r="D245" s="184"/>
      <c r="E245" s="94"/>
      <c r="F245" s="394"/>
      <c r="G245" s="394"/>
      <c r="H245" s="396"/>
      <c r="I245" s="396"/>
      <c r="J245" s="397"/>
      <c r="K245" s="396"/>
      <c r="L245" s="201"/>
      <c r="M245" s="388"/>
      <c r="N245" s="37"/>
      <c r="O245" s="389"/>
      <c r="P245" s="94"/>
      <c r="Q245" s="131"/>
      <c r="R245" s="165"/>
      <c r="S245" s="132"/>
      <c r="T245" s="201"/>
      <c r="U245" s="201"/>
      <c r="V245" s="95"/>
      <c r="X245" s="223"/>
      <c r="Y245" s="98"/>
      <c r="Z245" s="97"/>
      <c r="AA245" s="99"/>
    </row>
    <row r="246" spans="1:27" s="96" customFormat="1" hidden="1">
      <c r="A246" s="129"/>
      <c r="B246" s="94"/>
      <c r="C246" s="94"/>
      <c r="D246" s="184"/>
      <c r="E246" s="94"/>
      <c r="F246" s="394"/>
      <c r="G246" s="394"/>
      <c r="H246" s="395"/>
      <c r="I246" s="396"/>
      <c r="J246" s="397"/>
      <c r="K246" s="395"/>
      <c r="L246" s="201"/>
      <c r="M246" s="388"/>
      <c r="N246" s="37"/>
      <c r="O246" s="389"/>
      <c r="P246" s="94"/>
      <c r="Q246" s="131"/>
      <c r="R246" s="165"/>
      <c r="S246" s="132"/>
      <c r="T246" s="201"/>
      <c r="U246" s="201"/>
      <c r="V246" s="95"/>
      <c r="X246" s="223"/>
      <c r="Y246" s="98"/>
      <c r="Z246" s="97"/>
      <c r="AA246" s="99"/>
    </row>
    <row r="247" spans="1:27" s="96" customFormat="1" hidden="1">
      <c r="A247" s="129"/>
      <c r="B247" s="94"/>
      <c r="C247" s="94"/>
      <c r="D247" s="184"/>
      <c r="E247" s="94"/>
      <c r="F247" s="394"/>
      <c r="G247" s="394"/>
      <c r="H247" s="395"/>
      <c r="I247" s="396"/>
      <c r="J247" s="397"/>
      <c r="K247" s="395"/>
      <c r="L247" s="201"/>
      <c r="M247" s="388"/>
      <c r="N247" s="37"/>
      <c r="O247" s="389"/>
      <c r="P247" s="94"/>
      <c r="Q247" s="131"/>
      <c r="R247" s="165"/>
      <c r="S247" s="132"/>
      <c r="T247" s="201"/>
      <c r="U247" s="201"/>
      <c r="V247" s="95"/>
      <c r="X247" s="223"/>
      <c r="Y247" s="98"/>
      <c r="Z247" s="97"/>
      <c r="AA247" s="99"/>
    </row>
    <row r="248" spans="1:27" s="96" customFormat="1" hidden="1">
      <c r="A248" s="129"/>
      <c r="B248" s="94"/>
      <c r="C248" s="94"/>
      <c r="D248" s="184"/>
      <c r="E248" s="94"/>
      <c r="F248" s="394"/>
      <c r="G248" s="394"/>
      <c r="H248" s="396"/>
      <c r="I248" s="396"/>
      <c r="J248" s="397"/>
      <c r="K248" s="396"/>
      <c r="L248" s="201"/>
      <c r="M248" s="388"/>
      <c r="N248" s="37"/>
      <c r="O248" s="389"/>
      <c r="P248" s="94"/>
      <c r="Q248" s="131"/>
      <c r="R248" s="165"/>
      <c r="S248" s="132"/>
      <c r="T248" s="201"/>
      <c r="U248" s="201"/>
      <c r="V248" s="95"/>
      <c r="X248" s="223"/>
      <c r="Y248" s="98"/>
      <c r="Z248" s="97"/>
      <c r="AA248" s="99"/>
    </row>
    <row r="249" spans="1:27" s="96" customFormat="1">
      <c r="A249" s="129"/>
      <c r="B249" s="94"/>
      <c r="C249" s="94"/>
      <c r="D249" s="184"/>
      <c r="E249" s="94"/>
      <c r="F249" s="394"/>
      <c r="G249" s="394"/>
      <c r="H249" s="395"/>
      <c r="I249" s="396"/>
      <c r="J249" s="397"/>
      <c r="K249" s="395"/>
      <c r="L249" s="201"/>
      <c r="M249" s="388"/>
      <c r="N249" s="37"/>
      <c r="O249" s="389"/>
      <c r="P249" s="94"/>
      <c r="Q249" s="131"/>
      <c r="R249" s="165"/>
      <c r="S249" s="132"/>
      <c r="T249" s="201"/>
      <c r="U249" s="201"/>
      <c r="V249" s="95"/>
      <c r="X249" s="223"/>
      <c r="Y249" s="98"/>
      <c r="Z249" s="97"/>
      <c r="AA249" s="99"/>
    </row>
    <row r="250" spans="1:27" s="96" customFormat="1" hidden="1">
      <c r="A250" s="129"/>
      <c r="B250" s="94"/>
      <c r="C250" s="94"/>
      <c r="D250" s="184"/>
      <c r="E250" s="94"/>
      <c r="F250" s="94"/>
      <c r="G250" s="385"/>
      <c r="H250" s="386"/>
      <c r="I250" s="201"/>
      <c r="J250" s="201"/>
      <c r="K250" s="386"/>
      <c r="L250" s="201"/>
      <c r="M250" s="388"/>
      <c r="N250" s="235"/>
      <c r="O250" s="389"/>
      <c r="P250" s="94"/>
      <c r="Q250" s="131"/>
      <c r="R250" s="165"/>
      <c r="S250" s="132"/>
      <c r="T250" s="201"/>
      <c r="U250" s="201"/>
      <c r="V250" s="95"/>
      <c r="X250" s="223"/>
      <c r="Y250" s="98"/>
      <c r="Z250" s="97"/>
      <c r="AA250" s="99"/>
    </row>
    <row r="251" spans="1:27" s="96" customFormat="1" hidden="1">
      <c r="A251" s="129"/>
      <c r="B251" s="94"/>
      <c r="C251" s="94"/>
      <c r="D251" s="184"/>
      <c r="E251" s="94"/>
      <c r="F251" s="94"/>
      <c r="G251" s="385"/>
      <c r="H251" s="386"/>
      <c r="I251" s="201"/>
      <c r="J251" s="201"/>
      <c r="K251" s="386"/>
      <c r="L251" s="201"/>
      <c r="M251" s="388"/>
      <c r="N251" s="37"/>
      <c r="O251" s="389"/>
      <c r="P251" s="94"/>
      <c r="Q251" s="131"/>
      <c r="R251" s="165"/>
      <c r="S251" s="132"/>
      <c r="T251" s="201"/>
      <c r="U251" s="201"/>
      <c r="V251" s="95"/>
      <c r="X251" s="223"/>
      <c r="Y251" s="98"/>
      <c r="Z251" s="97"/>
      <c r="AA251" s="99"/>
    </row>
    <row r="252" spans="1:27" s="96" customFormat="1" hidden="1">
      <c r="A252" s="129"/>
      <c r="B252" s="94"/>
      <c r="C252" s="94"/>
      <c r="D252" s="184"/>
      <c r="E252" s="94"/>
      <c r="F252" s="94"/>
      <c r="G252" s="385"/>
      <c r="H252" s="386"/>
      <c r="I252" s="201"/>
      <c r="J252" s="201"/>
      <c r="K252" s="386"/>
      <c r="L252" s="201"/>
      <c r="M252" s="388"/>
      <c r="N252" s="37"/>
      <c r="O252" s="389"/>
      <c r="P252" s="94"/>
      <c r="Q252" s="131"/>
      <c r="R252" s="165"/>
      <c r="S252" s="132"/>
      <c r="T252" s="201"/>
      <c r="U252" s="201"/>
      <c r="V252" s="95"/>
      <c r="X252" s="223"/>
      <c r="Y252" s="98"/>
      <c r="Z252" s="97"/>
      <c r="AA252" s="99"/>
    </row>
    <row r="253" spans="1:27" s="96" customFormat="1" hidden="1">
      <c r="A253" s="129"/>
      <c r="B253" s="94"/>
      <c r="C253" s="94"/>
      <c r="D253" s="184"/>
      <c r="E253" s="94"/>
      <c r="F253" s="94"/>
      <c r="G253" s="385"/>
      <c r="H253" s="386"/>
      <c r="I253" s="201"/>
      <c r="J253" s="201"/>
      <c r="K253" s="386"/>
      <c r="L253" s="201"/>
      <c r="M253" s="388"/>
      <c r="N253" s="37"/>
      <c r="O253" s="389"/>
      <c r="P253" s="94"/>
      <c r="Q253" s="131"/>
      <c r="R253" s="165"/>
      <c r="S253" s="132"/>
      <c r="T253" s="201"/>
      <c r="U253" s="201"/>
      <c r="V253" s="95"/>
      <c r="X253" s="223"/>
      <c r="Y253" s="98"/>
      <c r="Z253" s="97"/>
      <c r="AA253" s="99"/>
    </row>
    <row r="254" spans="1:27" s="96" customFormat="1" hidden="1">
      <c r="A254" s="129"/>
      <c r="B254" s="94"/>
      <c r="C254" s="94"/>
      <c r="D254" s="184"/>
      <c r="E254" s="94"/>
      <c r="F254" s="94"/>
      <c r="G254" s="385"/>
      <c r="H254" s="386"/>
      <c r="I254" s="201"/>
      <c r="J254" s="201"/>
      <c r="K254" s="386"/>
      <c r="L254" s="201"/>
      <c r="M254" s="388"/>
      <c r="N254" s="37"/>
      <c r="O254" s="389"/>
      <c r="P254" s="94"/>
      <c r="Q254" s="131"/>
      <c r="R254" s="165"/>
      <c r="S254" s="132"/>
      <c r="T254" s="201"/>
      <c r="U254" s="201"/>
      <c r="V254" s="95"/>
      <c r="X254" s="223"/>
      <c r="Y254" s="98"/>
      <c r="Z254" s="97"/>
      <c r="AA254" s="99"/>
    </row>
    <row r="255" spans="1:27" s="96" customFormat="1" hidden="1">
      <c r="A255" s="129"/>
      <c r="B255" s="94"/>
      <c r="C255" s="94"/>
      <c r="D255" s="184"/>
      <c r="E255" s="94"/>
      <c r="F255" s="94"/>
      <c r="G255" s="385"/>
      <c r="H255" s="386"/>
      <c r="I255" s="201"/>
      <c r="J255" s="201"/>
      <c r="K255" s="386"/>
      <c r="L255" s="201"/>
      <c r="M255" s="388"/>
      <c r="N255" s="37"/>
      <c r="O255" s="389"/>
      <c r="P255" s="94"/>
      <c r="Q255" s="131"/>
      <c r="R255" s="165"/>
      <c r="S255" s="132"/>
      <c r="T255" s="201"/>
      <c r="U255" s="201"/>
      <c r="V255" s="95"/>
      <c r="X255" s="223"/>
      <c r="Y255" s="98"/>
      <c r="Z255" s="97"/>
      <c r="AA255" s="99"/>
    </row>
    <row r="256" spans="1:27" s="96" customFormat="1" hidden="1">
      <c r="A256" s="129"/>
      <c r="B256" s="94"/>
      <c r="C256" s="94"/>
      <c r="D256" s="184"/>
      <c r="E256" s="94"/>
      <c r="F256" s="94"/>
      <c r="G256" s="385"/>
      <c r="H256" s="386"/>
      <c r="I256" s="201"/>
      <c r="J256" s="201"/>
      <c r="K256" s="386"/>
      <c r="L256" s="386"/>
      <c r="M256" s="388"/>
      <c r="N256" s="37"/>
      <c r="O256" s="389"/>
      <c r="P256" s="94"/>
      <c r="Q256" s="131"/>
      <c r="R256" s="165"/>
      <c r="S256" s="132"/>
      <c r="T256" s="201"/>
      <c r="U256" s="201"/>
      <c r="V256" s="95"/>
      <c r="X256" s="223"/>
      <c r="Y256" s="98"/>
      <c r="Z256" s="97"/>
      <c r="AA256" s="99"/>
    </row>
    <row r="257" spans="1:27" s="96" customFormat="1" hidden="1">
      <c r="A257" s="129"/>
      <c r="B257" s="94"/>
      <c r="C257" s="94"/>
      <c r="D257" s="184"/>
      <c r="E257" s="94"/>
      <c r="F257" s="94"/>
      <c r="G257" s="385"/>
      <c r="H257" s="386"/>
      <c r="I257" s="201"/>
      <c r="J257" s="201"/>
      <c r="K257" s="386"/>
      <c r="L257" s="386"/>
      <c r="M257" s="388"/>
      <c r="N257" s="37"/>
      <c r="O257" s="389"/>
      <c r="P257" s="94"/>
      <c r="Q257" s="131"/>
      <c r="R257" s="165"/>
      <c r="S257" s="132"/>
      <c r="T257" s="201"/>
      <c r="U257" s="201"/>
      <c r="V257" s="95"/>
      <c r="X257" s="223"/>
      <c r="Y257" s="98"/>
      <c r="Z257" s="97"/>
      <c r="AA257" s="99"/>
    </row>
    <row r="258" spans="1:27" s="96" customFormat="1" hidden="1">
      <c r="A258" s="129"/>
      <c r="B258" s="94"/>
      <c r="C258" s="94"/>
      <c r="D258" s="184"/>
      <c r="E258" s="94"/>
      <c r="F258" s="94"/>
      <c r="G258" s="385"/>
      <c r="H258" s="386"/>
      <c r="I258" s="201"/>
      <c r="J258" s="201"/>
      <c r="K258" s="386"/>
      <c r="L258" s="386"/>
      <c r="M258" s="388"/>
      <c r="N258" s="37"/>
      <c r="O258" s="389"/>
      <c r="P258" s="94"/>
      <c r="Q258" s="131"/>
      <c r="R258" s="165"/>
      <c r="S258" s="132"/>
      <c r="T258" s="201"/>
      <c r="U258" s="201"/>
      <c r="V258" s="95"/>
      <c r="X258" s="223"/>
      <c r="Y258" s="98"/>
      <c r="Z258" s="97"/>
      <c r="AA258" s="99"/>
    </row>
    <row r="259" spans="1:27" s="96" customFormat="1" hidden="1">
      <c r="A259" s="129"/>
      <c r="B259" s="94"/>
      <c r="C259" s="94"/>
      <c r="D259" s="184"/>
      <c r="E259" s="94"/>
      <c r="F259" s="94"/>
      <c r="G259" s="385"/>
      <c r="H259" s="386"/>
      <c r="I259" s="201"/>
      <c r="J259" s="201"/>
      <c r="K259" s="386"/>
      <c r="L259" s="386"/>
      <c r="M259" s="388"/>
      <c r="N259" s="37"/>
      <c r="O259" s="389"/>
      <c r="P259" s="94"/>
      <c r="Q259" s="131"/>
      <c r="R259" s="165"/>
      <c r="S259" s="132"/>
      <c r="T259" s="201"/>
      <c r="U259" s="201"/>
      <c r="V259" s="95"/>
      <c r="X259" s="223"/>
      <c r="Y259" s="98"/>
      <c r="Z259" s="97"/>
      <c r="AA259" s="99"/>
    </row>
    <row r="260" spans="1:27" s="96" customFormat="1" hidden="1">
      <c r="A260" s="129"/>
      <c r="B260" s="94"/>
      <c r="C260" s="94"/>
      <c r="D260" s="184"/>
      <c r="E260" s="94"/>
      <c r="F260" s="94"/>
      <c r="G260" s="385"/>
      <c r="H260" s="386"/>
      <c r="I260" s="201"/>
      <c r="J260" s="201"/>
      <c r="K260" s="386"/>
      <c r="L260" s="386"/>
      <c r="M260" s="388"/>
      <c r="N260" s="37"/>
      <c r="O260" s="389"/>
      <c r="P260" s="94"/>
      <c r="Q260" s="131"/>
      <c r="R260" s="165"/>
      <c r="S260" s="132"/>
      <c r="T260" s="201"/>
      <c r="U260" s="201"/>
      <c r="V260" s="95"/>
      <c r="X260" s="223"/>
      <c r="Y260" s="98"/>
      <c r="Z260" s="97"/>
      <c r="AA260" s="99"/>
    </row>
    <row r="261" spans="1:27" s="96" customFormat="1" hidden="1">
      <c r="A261" s="129"/>
      <c r="B261" s="94"/>
      <c r="C261" s="94"/>
      <c r="D261" s="184"/>
      <c r="E261" s="94"/>
      <c r="F261" s="94"/>
      <c r="G261" s="385"/>
      <c r="H261" s="386"/>
      <c r="I261" s="201"/>
      <c r="J261" s="201"/>
      <c r="K261" s="386"/>
      <c r="L261" s="386"/>
      <c r="M261" s="388"/>
      <c r="N261" s="37"/>
      <c r="O261" s="389"/>
      <c r="P261" s="94"/>
      <c r="Q261" s="131"/>
      <c r="R261" s="165"/>
      <c r="S261" s="132"/>
      <c r="T261" s="201"/>
      <c r="U261" s="201"/>
      <c r="V261" s="95"/>
      <c r="X261" s="223"/>
      <c r="Y261" s="98"/>
      <c r="Z261" s="97"/>
      <c r="AA261" s="99"/>
    </row>
    <row r="262" spans="1:27" s="96" customFormat="1" hidden="1">
      <c r="A262" s="129"/>
      <c r="B262" s="94"/>
      <c r="C262" s="94"/>
      <c r="D262" s="184"/>
      <c r="E262" s="94"/>
      <c r="F262" s="94"/>
      <c r="G262" s="385"/>
      <c r="H262" s="386"/>
      <c r="I262" s="201"/>
      <c r="J262" s="201"/>
      <c r="K262" s="386"/>
      <c r="L262" s="386"/>
      <c r="M262" s="388"/>
      <c r="N262" s="37"/>
      <c r="O262" s="389"/>
      <c r="P262" s="94"/>
      <c r="Q262" s="131"/>
      <c r="R262" s="165"/>
      <c r="S262" s="132"/>
      <c r="T262" s="201"/>
      <c r="U262" s="201"/>
      <c r="V262" s="95"/>
      <c r="X262" s="223"/>
      <c r="Y262" s="98"/>
      <c r="Z262" s="97"/>
      <c r="AA262" s="99"/>
    </row>
    <row r="263" spans="1:27" s="96" customFormat="1" hidden="1">
      <c r="A263" s="129"/>
      <c r="B263" s="94"/>
      <c r="C263" s="94"/>
      <c r="D263" s="184"/>
      <c r="E263" s="94"/>
      <c r="F263" s="94"/>
      <c r="G263" s="385"/>
      <c r="H263" s="386"/>
      <c r="I263" s="201"/>
      <c r="J263" s="201"/>
      <c r="K263" s="201"/>
      <c r="L263" s="386"/>
      <c r="M263" s="388"/>
      <c r="N263" s="37"/>
      <c r="O263" s="389"/>
      <c r="P263" s="94"/>
      <c r="Q263" s="131"/>
      <c r="R263" s="165"/>
      <c r="S263" s="132"/>
      <c r="T263" s="201"/>
      <c r="U263" s="201"/>
      <c r="V263" s="95"/>
      <c r="X263" s="223"/>
      <c r="Y263" s="98"/>
      <c r="Z263" s="97"/>
      <c r="AA263" s="99"/>
    </row>
    <row r="264" spans="1:27" s="96" customFormat="1" hidden="1">
      <c r="A264" s="129"/>
      <c r="B264" s="94"/>
      <c r="C264" s="94"/>
      <c r="D264" s="184"/>
      <c r="E264" s="94"/>
      <c r="F264" s="94"/>
      <c r="G264" s="385"/>
      <c r="H264" s="386"/>
      <c r="I264" s="201"/>
      <c r="J264" s="201"/>
      <c r="K264" s="201"/>
      <c r="L264" s="386"/>
      <c r="M264" s="388"/>
      <c r="N264" s="37"/>
      <c r="O264" s="389"/>
      <c r="P264" s="94"/>
      <c r="Q264" s="131"/>
      <c r="R264" s="165"/>
      <c r="S264" s="132"/>
      <c r="T264" s="201"/>
      <c r="U264" s="201"/>
      <c r="V264" s="95"/>
      <c r="X264" s="223"/>
      <c r="Y264" s="98"/>
      <c r="Z264" s="97"/>
      <c r="AA264" s="99"/>
    </row>
    <row r="265" spans="1:27" s="96" customFormat="1" hidden="1">
      <c r="A265" s="129"/>
      <c r="B265" s="94"/>
      <c r="C265" s="94"/>
      <c r="D265" s="184"/>
      <c r="E265" s="94"/>
      <c r="F265" s="94"/>
      <c r="G265" s="385"/>
      <c r="H265" s="386"/>
      <c r="I265" s="201"/>
      <c r="J265" s="201"/>
      <c r="K265" s="201"/>
      <c r="L265" s="386"/>
      <c r="M265" s="388"/>
      <c r="N265" s="37"/>
      <c r="O265" s="389"/>
      <c r="P265" s="94"/>
      <c r="Q265" s="131"/>
      <c r="R265" s="165"/>
      <c r="S265" s="132"/>
      <c r="T265" s="201"/>
      <c r="U265" s="201"/>
      <c r="V265" s="95"/>
      <c r="X265" s="223"/>
      <c r="Y265" s="98"/>
      <c r="Z265" s="97"/>
      <c r="AA265" s="99"/>
    </row>
    <row r="266" spans="1:27" s="96" customFormat="1" hidden="1">
      <c r="A266" s="129"/>
      <c r="B266" s="94"/>
      <c r="C266" s="94"/>
      <c r="D266" s="184"/>
      <c r="E266" s="94"/>
      <c r="F266" s="94"/>
      <c r="G266" s="385"/>
      <c r="H266" s="386"/>
      <c r="I266" s="201"/>
      <c r="J266" s="201"/>
      <c r="K266" s="201"/>
      <c r="L266" s="386"/>
      <c r="M266" s="388"/>
      <c r="N266" s="37"/>
      <c r="O266" s="389"/>
      <c r="P266" s="94"/>
      <c r="Q266" s="131"/>
      <c r="R266" s="165"/>
      <c r="S266" s="132"/>
      <c r="T266" s="201"/>
      <c r="U266" s="201"/>
      <c r="V266" s="95"/>
      <c r="X266" s="223"/>
      <c r="Y266" s="98"/>
      <c r="Z266" s="97"/>
      <c r="AA266" s="99"/>
    </row>
    <row r="267" spans="1:27" s="96" customFormat="1" hidden="1">
      <c r="A267" s="129"/>
      <c r="B267" s="94"/>
      <c r="C267" s="94"/>
      <c r="D267" s="184"/>
      <c r="E267" s="94"/>
      <c r="F267" s="94"/>
      <c r="G267" s="385"/>
      <c r="H267" s="386"/>
      <c r="I267" s="201"/>
      <c r="J267" s="201"/>
      <c r="K267" s="386"/>
      <c r="L267" s="386"/>
      <c r="M267" s="388"/>
      <c r="N267" s="37"/>
      <c r="O267" s="389"/>
      <c r="P267" s="94"/>
      <c r="Q267" s="131"/>
      <c r="R267" s="165"/>
      <c r="S267" s="132"/>
      <c r="T267" s="201"/>
      <c r="U267" s="201"/>
      <c r="V267" s="95"/>
      <c r="X267" s="223"/>
      <c r="Y267" s="98"/>
      <c r="Z267" s="97"/>
      <c r="AA267" s="99"/>
    </row>
    <row r="268" spans="1:27" s="96" customFormat="1">
      <c r="A268" s="129"/>
      <c r="B268" s="94"/>
      <c r="C268" s="94"/>
      <c r="D268" s="184"/>
      <c r="E268" s="94"/>
      <c r="F268" s="94"/>
      <c r="G268" s="385"/>
      <c r="H268" s="386"/>
      <c r="I268" s="201"/>
      <c r="J268" s="201"/>
      <c r="K268" s="386"/>
      <c r="L268" s="386"/>
      <c r="M268" s="388"/>
      <c r="N268" s="37"/>
      <c r="O268" s="389"/>
      <c r="P268" s="94"/>
      <c r="Q268" s="131"/>
      <c r="R268" s="165"/>
      <c r="S268" s="132"/>
      <c r="T268" s="131"/>
      <c r="U268" s="131"/>
      <c r="V268" s="95"/>
      <c r="X268" s="223"/>
      <c r="Y268" s="98"/>
      <c r="Z268" s="97"/>
      <c r="AA268" s="99"/>
    </row>
    <row r="269" spans="1:27" s="96" customFormat="1">
      <c r="A269" s="129"/>
      <c r="B269" s="94"/>
      <c r="C269" s="94"/>
      <c r="D269" s="184"/>
      <c r="E269" s="94"/>
      <c r="F269" s="94"/>
      <c r="G269" s="385"/>
      <c r="H269" s="386"/>
      <c r="I269" s="201"/>
      <c r="J269" s="201"/>
      <c r="K269" s="386"/>
      <c r="L269" s="386"/>
      <c r="M269" s="388"/>
      <c r="N269" s="37"/>
      <c r="O269" s="389"/>
      <c r="P269" s="94"/>
      <c r="Q269" s="131"/>
      <c r="R269" s="165"/>
      <c r="S269" s="132"/>
      <c r="T269" s="131"/>
      <c r="U269" s="131"/>
      <c r="V269" s="95"/>
      <c r="X269" s="223"/>
      <c r="Y269" s="98"/>
      <c r="Z269" s="97"/>
      <c r="AA269" s="99"/>
    </row>
    <row r="270" spans="1:27" s="96" customFormat="1" hidden="1">
      <c r="A270" s="129"/>
      <c r="B270" s="94"/>
      <c r="C270" s="94"/>
      <c r="D270" s="184"/>
      <c r="E270" s="94"/>
      <c r="F270" s="394"/>
      <c r="G270" s="394"/>
      <c r="H270" s="396"/>
      <c r="I270" s="396"/>
      <c r="J270" s="397"/>
      <c r="K270" s="396"/>
      <c r="L270" s="386"/>
      <c r="M270" s="388"/>
      <c r="N270" s="37"/>
      <c r="O270" s="389"/>
      <c r="P270" s="94"/>
      <c r="Q270" s="131"/>
      <c r="R270" s="165"/>
      <c r="S270" s="400"/>
      <c r="T270" s="201"/>
      <c r="U270" s="201"/>
      <c r="V270" s="95"/>
      <c r="X270" s="223"/>
      <c r="Y270" s="98"/>
      <c r="Z270" s="97"/>
      <c r="AA270" s="99"/>
    </row>
    <row r="271" spans="1:27" s="96" customFormat="1" hidden="1">
      <c r="A271" s="129"/>
      <c r="B271" s="94"/>
      <c r="C271" s="94"/>
      <c r="D271" s="184"/>
      <c r="E271" s="94"/>
      <c r="F271" s="394"/>
      <c r="G271" s="394"/>
      <c r="H271" s="395"/>
      <c r="I271" s="396"/>
      <c r="J271" s="397"/>
      <c r="K271" s="395"/>
      <c r="L271" s="386"/>
      <c r="M271" s="388"/>
      <c r="N271" s="37"/>
      <c r="O271" s="389"/>
      <c r="P271" s="94"/>
      <c r="Q271" s="131"/>
      <c r="R271" s="165"/>
      <c r="S271" s="400"/>
      <c r="T271" s="201"/>
      <c r="U271" s="201"/>
      <c r="V271" s="95"/>
      <c r="X271" s="223"/>
      <c r="Y271" s="98"/>
      <c r="Z271" s="97"/>
      <c r="AA271" s="99"/>
    </row>
    <row r="272" spans="1:27" s="96" customFormat="1" hidden="1">
      <c r="A272" s="129"/>
      <c r="B272" s="94"/>
      <c r="C272" s="94"/>
      <c r="D272" s="184"/>
      <c r="E272" s="94"/>
      <c r="F272" s="394"/>
      <c r="G272" s="394"/>
      <c r="H272" s="396"/>
      <c r="I272" s="396"/>
      <c r="J272" s="397"/>
      <c r="K272" s="396"/>
      <c r="L272" s="386"/>
      <c r="M272" s="388"/>
      <c r="N272" s="37"/>
      <c r="O272" s="389"/>
      <c r="P272" s="94"/>
      <c r="Q272" s="131"/>
      <c r="R272" s="165"/>
      <c r="S272" s="400"/>
      <c r="T272" s="201"/>
      <c r="U272" s="201"/>
      <c r="V272" s="95"/>
      <c r="X272" s="223"/>
      <c r="Y272" s="98"/>
      <c r="Z272" s="97"/>
      <c r="AA272" s="99"/>
    </row>
    <row r="273" spans="1:27" s="96" customFormat="1" hidden="1">
      <c r="A273" s="129"/>
      <c r="B273" s="94"/>
      <c r="C273" s="94"/>
      <c r="D273" s="184"/>
      <c r="E273" s="94"/>
      <c r="F273" s="394"/>
      <c r="G273" s="394"/>
      <c r="H273" s="396"/>
      <c r="I273" s="396"/>
      <c r="J273" s="397"/>
      <c r="K273" s="396"/>
      <c r="L273" s="386"/>
      <c r="M273" s="388"/>
      <c r="N273" s="37"/>
      <c r="O273" s="389"/>
      <c r="P273" s="94"/>
      <c r="Q273" s="131"/>
      <c r="R273" s="165"/>
      <c r="S273" s="400"/>
      <c r="T273" s="201"/>
      <c r="U273" s="201"/>
      <c r="V273" s="95"/>
      <c r="X273" s="223"/>
      <c r="Y273" s="98"/>
      <c r="Z273" s="97"/>
      <c r="AA273" s="99"/>
    </row>
    <row r="274" spans="1:27" s="96" customFormat="1" hidden="1">
      <c r="A274" s="129"/>
      <c r="B274" s="401"/>
      <c r="C274" s="401"/>
      <c r="D274" s="184"/>
      <c r="E274" s="94"/>
      <c r="F274" s="394"/>
      <c r="G274" s="394"/>
      <c r="H274" s="395"/>
      <c r="I274" s="396"/>
      <c r="J274" s="397"/>
      <c r="K274" s="395"/>
      <c r="L274" s="201"/>
      <c r="M274" s="388"/>
      <c r="N274" s="37"/>
      <c r="O274" s="389"/>
      <c r="P274" s="94"/>
      <c r="Q274" s="131"/>
      <c r="R274" s="165"/>
      <c r="S274" s="400"/>
      <c r="T274" s="201"/>
      <c r="U274" s="201"/>
      <c r="V274" s="95"/>
      <c r="X274" s="223"/>
      <c r="Y274" s="98"/>
      <c r="Z274" s="97"/>
      <c r="AA274" s="99"/>
    </row>
    <row r="275" spans="1:27" s="96" customFormat="1" hidden="1">
      <c r="A275" s="129"/>
      <c r="B275" s="94"/>
      <c r="C275" s="94"/>
      <c r="D275" s="184"/>
      <c r="E275" s="94"/>
      <c r="F275" s="394"/>
      <c r="G275" s="394"/>
      <c r="H275" s="396"/>
      <c r="I275" s="396"/>
      <c r="J275" s="397"/>
      <c r="K275" s="396"/>
      <c r="L275" s="201"/>
      <c r="M275" s="388"/>
      <c r="N275" s="37"/>
      <c r="O275" s="389"/>
      <c r="P275" s="94"/>
      <c r="Q275" s="131"/>
      <c r="R275" s="165"/>
      <c r="S275" s="400"/>
      <c r="T275" s="201"/>
      <c r="U275" s="201"/>
      <c r="V275" s="95"/>
      <c r="X275" s="223"/>
      <c r="Y275" s="98"/>
      <c r="Z275" s="97"/>
      <c r="AA275" s="99"/>
    </row>
    <row r="276" spans="1:27" s="96" customFormat="1" ht="19.5" hidden="1" customHeight="1">
      <c r="A276" s="129"/>
      <c r="B276" s="94"/>
      <c r="C276" s="94"/>
      <c r="D276" s="184"/>
      <c r="E276" s="94"/>
      <c r="F276" s="394"/>
      <c r="G276" s="394"/>
      <c r="H276" s="396"/>
      <c r="I276" s="396"/>
      <c r="J276" s="397"/>
      <c r="K276" s="396"/>
      <c r="L276" s="201"/>
      <c r="M276" s="388"/>
      <c r="N276" s="37"/>
      <c r="O276" s="389"/>
      <c r="P276" s="94"/>
      <c r="Q276" s="131"/>
      <c r="R276" s="165"/>
      <c r="S276" s="132"/>
      <c r="T276" s="201"/>
      <c r="U276" s="201"/>
      <c r="V276" s="95"/>
      <c r="X276" s="223"/>
      <c r="Y276" s="98"/>
      <c r="Z276" s="97"/>
      <c r="AA276" s="99"/>
    </row>
    <row r="277" spans="1:27" s="96" customFormat="1" ht="19.5" hidden="1" customHeight="1">
      <c r="A277" s="129"/>
      <c r="B277" s="94"/>
      <c r="C277" s="94"/>
      <c r="D277" s="184"/>
      <c r="E277" s="94"/>
      <c r="F277" s="394"/>
      <c r="G277" s="394"/>
      <c r="H277" s="396"/>
      <c r="I277" s="396"/>
      <c r="J277" s="397"/>
      <c r="K277" s="396"/>
      <c r="L277" s="201"/>
      <c r="M277" s="388"/>
      <c r="N277" s="37"/>
      <c r="O277" s="389"/>
      <c r="P277" s="94"/>
      <c r="Q277" s="131"/>
      <c r="R277" s="165"/>
      <c r="S277" s="132"/>
      <c r="T277" s="201"/>
      <c r="U277" s="201"/>
      <c r="V277" s="95"/>
      <c r="X277" s="223"/>
      <c r="Y277" s="98"/>
      <c r="Z277" s="97"/>
      <c r="AA277" s="99"/>
    </row>
    <row r="278" spans="1:27" s="96" customFormat="1" ht="19.5" hidden="1" customHeight="1">
      <c r="A278" s="129"/>
      <c r="B278" s="94"/>
      <c r="C278" s="94"/>
      <c r="D278" s="184"/>
      <c r="E278" s="94"/>
      <c r="F278" s="394"/>
      <c r="G278" s="394"/>
      <c r="H278" s="395"/>
      <c r="I278" s="396"/>
      <c r="J278" s="397"/>
      <c r="K278" s="395"/>
      <c r="L278" s="201"/>
      <c r="M278" s="388"/>
      <c r="N278" s="37"/>
      <c r="O278" s="389"/>
      <c r="P278" s="94"/>
      <c r="Q278" s="131"/>
      <c r="R278" s="165"/>
      <c r="S278" s="132"/>
      <c r="T278" s="201"/>
      <c r="U278" s="201"/>
      <c r="V278" s="95"/>
      <c r="X278" s="223"/>
      <c r="Y278" s="98"/>
      <c r="Z278" s="97"/>
      <c r="AA278" s="99"/>
    </row>
    <row r="279" spans="1:27" s="96" customFormat="1" ht="19.5" hidden="1" customHeight="1">
      <c r="A279" s="129"/>
      <c r="B279" s="94"/>
      <c r="C279" s="94"/>
      <c r="D279" s="184"/>
      <c r="E279" s="94"/>
      <c r="F279" s="394"/>
      <c r="G279" s="394"/>
      <c r="H279" s="395"/>
      <c r="I279" s="396"/>
      <c r="J279" s="397"/>
      <c r="K279" s="395"/>
      <c r="L279" s="201"/>
      <c r="M279" s="388"/>
      <c r="N279" s="37"/>
      <c r="O279" s="389"/>
      <c r="P279" s="94"/>
      <c r="Q279" s="131"/>
      <c r="R279" s="165"/>
      <c r="S279" s="132"/>
      <c r="T279" s="201"/>
      <c r="U279" s="201"/>
      <c r="V279" s="95"/>
      <c r="X279" s="223"/>
      <c r="Y279" s="98"/>
      <c r="Z279" s="97"/>
      <c r="AA279" s="99"/>
    </row>
    <row r="280" spans="1:27" s="96" customFormat="1" ht="19.5" hidden="1" customHeight="1">
      <c r="A280" s="129"/>
      <c r="B280" s="94"/>
      <c r="C280" s="94"/>
      <c r="D280" s="184"/>
      <c r="E280" s="94"/>
      <c r="F280" s="394"/>
      <c r="G280" s="394"/>
      <c r="H280" s="396"/>
      <c r="I280" s="396"/>
      <c r="J280" s="397"/>
      <c r="K280" s="396"/>
      <c r="L280" s="201"/>
      <c r="M280" s="388"/>
      <c r="N280" s="37"/>
      <c r="O280" s="389"/>
      <c r="P280" s="94"/>
      <c r="Q280" s="131"/>
      <c r="R280" s="165"/>
      <c r="S280" s="132"/>
      <c r="T280" s="201"/>
      <c r="U280" s="201"/>
      <c r="V280" s="95"/>
      <c r="X280" s="223"/>
      <c r="Y280" s="98"/>
      <c r="Z280" s="97"/>
      <c r="AA280" s="99"/>
    </row>
    <row r="281" spans="1:27" s="96" customFormat="1" ht="19.5" hidden="1" customHeight="1">
      <c r="A281" s="129"/>
      <c r="B281" s="94"/>
      <c r="C281" s="94"/>
      <c r="D281" s="184"/>
      <c r="E281" s="94"/>
      <c r="F281" s="394"/>
      <c r="G281" s="394"/>
      <c r="H281" s="396"/>
      <c r="I281" s="396"/>
      <c r="J281" s="397"/>
      <c r="K281" s="396"/>
      <c r="L281" s="201"/>
      <c r="M281" s="388"/>
      <c r="N281" s="37"/>
      <c r="O281" s="389"/>
      <c r="P281" s="94"/>
      <c r="Q281" s="131"/>
      <c r="R281" s="165"/>
      <c r="S281" s="132"/>
      <c r="T281" s="201"/>
      <c r="U281" s="201"/>
      <c r="V281" s="95"/>
      <c r="X281" s="223"/>
      <c r="Y281" s="98"/>
      <c r="Z281" s="97"/>
      <c r="AA281" s="99"/>
    </row>
    <row r="282" spans="1:27" s="96" customFormat="1" ht="19.5" hidden="1" customHeight="1">
      <c r="A282" s="129"/>
      <c r="B282" s="94"/>
      <c r="C282" s="94"/>
      <c r="D282" s="184"/>
      <c r="E282" s="94"/>
      <c r="F282" s="394"/>
      <c r="G282" s="394"/>
      <c r="H282" s="396"/>
      <c r="I282" s="396"/>
      <c r="J282" s="397"/>
      <c r="K282" s="396"/>
      <c r="L282" s="201"/>
      <c r="M282" s="388"/>
      <c r="N282" s="37"/>
      <c r="O282" s="389"/>
      <c r="P282" s="94"/>
      <c r="Q282" s="131"/>
      <c r="R282" s="165"/>
      <c r="S282" s="132"/>
      <c r="T282" s="201"/>
      <c r="U282" s="201"/>
      <c r="V282" s="95"/>
      <c r="X282" s="223"/>
      <c r="Y282" s="98"/>
      <c r="Z282" s="97"/>
      <c r="AA282" s="99"/>
    </row>
    <row r="283" spans="1:27" s="96" customFormat="1" ht="19.5" hidden="1" customHeight="1">
      <c r="A283" s="129"/>
      <c r="B283" s="94"/>
      <c r="C283" s="94"/>
      <c r="D283" s="184"/>
      <c r="E283" s="94"/>
      <c r="F283" s="394"/>
      <c r="G283" s="394"/>
      <c r="H283" s="396"/>
      <c r="I283" s="396"/>
      <c r="J283" s="397"/>
      <c r="K283" s="396"/>
      <c r="L283" s="201"/>
      <c r="M283" s="388"/>
      <c r="N283" s="37"/>
      <c r="O283" s="389"/>
      <c r="P283" s="94"/>
      <c r="Q283" s="131"/>
      <c r="R283" s="165"/>
      <c r="S283" s="132"/>
      <c r="T283" s="201"/>
      <c r="U283" s="201"/>
      <c r="V283" s="95"/>
      <c r="X283" s="223"/>
      <c r="Y283" s="98"/>
      <c r="Z283" s="97"/>
      <c r="AA283" s="99"/>
    </row>
    <row r="284" spans="1:27" s="96" customFormat="1" ht="19.5" hidden="1" customHeight="1">
      <c r="A284" s="129"/>
      <c r="B284" s="94"/>
      <c r="C284" s="94"/>
      <c r="D284" s="184"/>
      <c r="E284" s="94"/>
      <c r="F284" s="394"/>
      <c r="G284" s="394"/>
      <c r="H284" s="396"/>
      <c r="I284" s="396"/>
      <c r="J284" s="397"/>
      <c r="K284" s="396"/>
      <c r="L284" s="201"/>
      <c r="M284" s="388"/>
      <c r="N284" s="37"/>
      <c r="O284" s="389"/>
      <c r="P284" s="94"/>
      <c r="Q284" s="131"/>
      <c r="R284" s="165"/>
      <c r="S284" s="132"/>
      <c r="T284" s="201"/>
      <c r="U284" s="201"/>
      <c r="V284" s="95"/>
      <c r="X284" s="223"/>
      <c r="Y284" s="98"/>
      <c r="Z284" s="97"/>
      <c r="AA284" s="99"/>
    </row>
    <row r="285" spans="1:27" s="96" customFormat="1" ht="19.5" hidden="1" customHeight="1">
      <c r="A285" s="129"/>
      <c r="B285" s="94"/>
      <c r="C285" s="94"/>
      <c r="D285" s="184"/>
      <c r="E285" s="94"/>
      <c r="F285" s="394"/>
      <c r="G285" s="394"/>
      <c r="H285" s="396"/>
      <c r="I285" s="396"/>
      <c r="J285" s="397"/>
      <c r="K285" s="396"/>
      <c r="L285" s="201"/>
      <c r="M285" s="388"/>
      <c r="N285" s="37"/>
      <c r="O285" s="389"/>
      <c r="P285" s="94"/>
      <c r="Q285" s="131"/>
      <c r="R285" s="165"/>
      <c r="S285" s="132"/>
      <c r="T285" s="201"/>
      <c r="U285" s="201"/>
      <c r="V285" s="95"/>
      <c r="X285" s="223"/>
      <c r="Y285" s="98"/>
      <c r="Z285" s="97"/>
      <c r="AA285" s="99"/>
    </row>
    <row r="286" spans="1:27" s="96" customFormat="1" ht="19.5" hidden="1" customHeight="1">
      <c r="A286" s="129"/>
      <c r="B286" s="94"/>
      <c r="C286" s="94"/>
      <c r="D286" s="184"/>
      <c r="E286" s="94"/>
      <c r="F286" s="394"/>
      <c r="G286" s="394"/>
      <c r="H286" s="396"/>
      <c r="I286" s="396"/>
      <c r="J286" s="397"/>
      <c r="K286" s="396"/>
      <c r="L286" s="201"/>
      <c r="M286" s="388"/>
      <c r="N286" s="37"/>
      <c r="O286" s="389"/>
      <c r="P286" s="94"/>
      <c r="Q286" s="131"/>
      <c r="R286" s="165"/>
      <c r="S286" s="132"/>
      <c r="T286" s="201"/>
      <c r="U286" s="201"/>
      <c r="V286" s="95"/>
      <c r="X286" s="223"/>
      <c r="Y286" s="98"/>
      <c r="Z286" s="97"/>
      <c r="AA286" s="99"/>
    </row>
    <row r="287" spans="1:27" s="96" customFormat="1" ht="19.5" hidden="1" customHeight="1">
      <c r="A287" s="129"/>
      <c r="B287" s="94"/>
      <c r="C287" s="94"/>
      <c r="D287" s="184"/>
      <c r="E287" s="94"/>
      <c r="F287" s="394"/>
      <c r="G287" s="394"/>
      <c r="H287" s="396"/>
      <c r="I287" s="396"/>
      <c r="J287" s="397"/>
      <c r="K287" s="396"/>
      <c r="L287" s="201"/>
      <c r="M287" s="388"/>
      <c r="N287" s="37"/>
      <c r="O287" s="389"/>
      <c r="P287" s="94"/>
      <c r="Q287" s="131"/>
      <c r="R287" s="165"/>
      <c r="S287" s="132"/>
      <c r="T287" s="201"/>
      <c r="U287" s="201"/>
      <c r="V287" s="95"/>
      <c r="X287" s="223"/>
      <c r="Y287" s="98"/>
      <c r="Z287" s="97"/>
      <c r="AA287" s="99"/>
    </row>
    <row r="288" spans="1:27" s="96" customFormat="1" hidden="1">
      <c r="A288" s="129"/>
      <c r="B288" s="94"/>
      <c r="C288" s="94"/>
      <c r="D288" s="184"/>
      <c r="E288" s="94"/>
      <c r="F288" s="394"/>
      <c r="G288" s="394"/>
      <c r="H288" s="396"/>
      <c r="I288" s="396"/>
      <c r="J288" s="397"/>
      <c r="K288" s="396"/>
      <c r="L288" s="201"/>
      <c r="M288" s="388"/>
      <c r="N288" s="37"/>
      <c r="O288" s="389"/>
      <c r="P288" s="94"/>
      <c r="Q288" s="131"/>
      <c r="R288" s="165"/>
      <c r="S288" s="132"/>
      <c r="T288" s="201"/>
      <c r="U288" s="201"/>
      <c r="V288" s="95"/>
      <c r="X288" s="223"/>
      <c r="Y288" s="98"/>
      <c r="Z288" s="97"/>
      <c r="AA288" s="99"/>
    </row>
    <row r="289" spans="1:27" s="96" customFormat="1" hidden="1">
      <c r="A289" s="129"/>
      <c r="B289" s="94"/>
      <c r="C289" s="94"/>
      <c r="D289" s="184"/>
      <c r="E289" s="94"/>
      <c r="F289" s="394"/>
      <c r="G289" s="394"/>
      <c r="H289" s="396"/>
      <c r="I289" s="396"/>
      <c r="J289" s="397"/>
      <c r="K289" s="396"/>
      <c r="L289" s="201"/>
      <c r="M289" s="388"/>
      <c r="N289" s="37"/>
      <c r="O289" s="389"/>
      <c r="P289" s="94"/>
      <c r="Q289" s="131"/>
      <c r="R289" s="165"/>
      <c r="S289" s="132"/>
      <c r="T289" s="201"/>
      <c r="U289" s="201"/>
      <c r="V289" s="95"/>
      <c r="X289" s="223"/>
      <c r="Y289" s="98"/>
      <c r="Z289" s="97"/>
      <c r="AA289" s="99"/>
    </row>
    <row r="290" spans="1:27" s="96" customFormat="1" hidden="1">
      <c r="A290" s="129"/>
      <c r="B290" s="94"/>
      <c r="C290" s="94"/>
      <c r="D290" s="184"/>
      <c r="E290" s="94"/>
      <c r="F290" s="394"/>
      <c r="G290" s="394"/>
      <c r="H290" s="396"/>
      <c r="I290" s="396"/>
      <c r="J290" s="397"/>
      <c r="K290" s="396"/>
      <c r="L290" s="201"/>
      <c r="M290" s="388"/>
      <c r="N290" s="37"/>
      <c r="O290" s="389"/>
      <c r="P290" s="94"/>
      <c r="Q290" s="131"/>
      <c r="R290" s="165"/>
      <c r="S290" s="132"/>
      <c r="T290" s="201"/>
      <c r="U290" s="201"/>
      <c r="V290" s="95"/>
      <c r="X290" s="223"/>
      <c r="Y290" s="98"/>
      <c r="Z290" s="97"/>
      <c r="AA290" s="99"/>
    </row>
    <row r="291" spans="1:27" s="96" customFormat="1">
      <c r="A291" s="129"/>
      <c r="B291" s="94"/>
      <c r="C291" s="94"/>
      <c r="D291" s="184"/>
      <c r="E291" s="94"/>
      <c r="F291" s="394"/>
      <c r="G291" s="394"/>
      <c r="H291" s="395"/>
      <c r="I291" s="396"/>
      <c r="J291" s="397"/>
      <c r="K291" s="395"/>
      <c r="L291" s="201"/>
      <c r="M291" s="388"/>
      <c r="N291" s="37"/>
      <c r="O291" s="389"/>
      <c r="P291" s="94"/>
      <c r="Q291" s="131"/>
      <c r="R291" s="165"/>
      <c r="S291" s="132"/>
      <c r="T291" s="201"/>
      <c r="U291" s="201"/>
      <c r="V291" s="95"/>
      <c r="X291" s="223"/>
      <c r="Y291" s="98"/>
      <c r="Z291" s="97"/>
      <c r="AA291" s="99"/>
    </row>
    <row r="292" spans="1:27" s="96" customFormat="1" hidden="1">
      <c r="A292" s="129"/>
      <c r="B292" s="94"/>
      <c r="C292" s="94"/>
      <c r="D292" s="184"/>
      <c r="E292" s="94"/>
      <c r="F292" s="94"/>
      <c r="G292" s="385"/>
      <c r="H292" s="386"/>
      <c r="I292" s="201"/>
      <c r="J292" s="201"/>
      <c r="K292" s="386"/>
      <c r="L292" s="386"/>
      <c r="M292" s="388"/>
      <c r="N292" s="37"/>
      <c r="O292" s="389"/>
      <c r="P292" s="94"/>
      <c r="Q292" s="131"/>
      <c r="R292" s="165"/>
      <c r="S292" s="132"/>
      <c r="T292" s="201"/>
      <c r="U292" s="201"/>
      <c r="V292" s="95"/>
      <c r="X292" s="223"/>
      <c r="Y292" s="98"/>
      <c r="Z292" s="97"/>
      <c r="AA292" s="99"/>
    </row>
    <row r="293" spans="1:27" s="96" customFormat="1" hidden="1">
      <c r="A293" s="129"/>
      <c r="B293" s="94"/>
      <c r="C293" s="94"/>
      <c r="D293" s="184"/>
      <c r="E293" s="94"/>
      <c r="F293" s="94"/>
      <c r="G293" s="385"/>
      <c r="H293" s="386"/>
      <c r="I293" s="201"/>
      <c r="J293" s="201"/>
      <c r="K293" s="386"/>
      <c r="L293" s="386"/>
      <c r="M293" s="388"/>
      <c r="N293" s="37"/>
      <c r="O293" s="389"/>
      <c r="P293" s="94"/>
      <c r="Q293" s="131"/>
      <c r="R293" s="165"/>
      <c r="S293" s="132"/>
      <c r="T293" s="201"/>
      <c r="U293" s="201"/>
      <c r="V293" s="95"/>
      <c r="X293" s="223"/>
      <c r="Y293" s="98"/>
      <c r="Z293" s="97"/>
      <c r="AA293" s="99"/>
    </row>
    <row r="294" spans="1:27" s="96" customFormat="1" hidden="1">
      <c r="A294" s="129"/>
      <c r="B294" s="94"/>
      <c r="C294" s="94"/>
      <c r="D294" s="184"/>
      <c r="E294" s="94"/>
      <c r="F294" s="94"/>
      <c r="G294" s="385"/>
      <c r="H294" s="386"/>
      <c r="I294" s="201"/>
      <c r="J294" s="201"/>
      <c r="K294" s="386"/>
      <c r="L294" s="386"/>
      <c r="M294" s="388"/>
      <c r="N294" s="37"/>
      <c r="O294" s="389"/>
      <c r="P294" s="94"/>
      <c r="Q294" s="131"/>
      <c r="R294" s="165"/>
      <c r="S294" s="132"/>
      <c r="T294" s="201"/>
      <c r="U294" s="201"/>
      <c r="V294" s="95"/>
      <c r="X294" s="223"/>
      <c r="Y294" s="98"/>
      <c r="Z294" s="97"/>
      <c r="AA294" s="99"/>
    </row>
    <row r="295" spans="1:27" s="96" customFormat="1" hidden="1">
      <c r="A295" s="129"/>
      <c r="B295" s="94"/>
      <c r="C295" s="94"/>
      <c r="D295" s="184"/>
      <c r="E295" s="94"/>
      <c r="F295" s="94"/>
      <c r="G295" s="385"/>
      <c r="H295" s="386"/>
      <c r="I295" s="201"/>
      <c r="J295" s="201"/>
      <c r="K295" s="386"/>
      <c r="L295" s="386"/>
      <c r="M295" s="388"/>
      <c r="N295" s="37"/>
      <c r="O295" s="389"/>
      <c r="P295" s="94"/>
      <c r="Q295" s="131"/>
      <c r="R295" s="165"/>
      <c r="S295" s="132"/>
      <c r="T295" s="201"/>
      <c r="U295" s="201"/>
      <c r="V295" s="95"/>
      <c r="X295" s="223"/>
      <c r="Y295" s="98"/>
      <c r="Z295" s="97"/>
      <c r="AA295" s="99"/>
    </row>
    <row r="296" spans="1:27" s="96" customFormat="1" hidden="1">
      <c r="A296" s="129"/>
      <c r="B296" s="94"/>
      <c r="C296" s="94"/>
      <c r="D296" s="184"/>
      <c r="E296" s="94"/>
      <c r="F296" s="94"/>
      <c r="G296" s="385"/>
      <c r="H296" s="386"/>
      <c r="I296" s="201"/>
      <c r="J296" s="201"/>
      <c r="K296" s="386"/>
      <c r="L296" s="386"/>
      <c r="M296" s="388"/>
      <c r="N296" s="37"/>
      <c r="O296" s="389"/>
      <c r="P296" s="94"/>
      <c r="Q296" s="131"/>
      <c r="R296" s="165"/>
      <c r="S296" s="132"/>
      <c r="T296" s="201"/>
      <c r="U296" s="201"/>
      <c r="V296" s="95"/>
      <c r="X296" s="223"/>
      <c r="Y296" s="98"/>
      <c r="Z296" s="97"/>
      <c r="AA296" s="99"/>
    </row>
    <row r="297" spans="1:27" s="96" customFormat="1" hidden="1">
      <c r="A297" s="129"/>
      <c r="B297" s="94"/>
      <c r="C297" s="94"/>
      <c r="D297" s="184"/>
      <c r="E297" s="94"/>
      <c r="F297" s="94"/>
      <c r="G297" s="385"/>
      <c r="H297" s="386"/>
      <c r="I297" s="201"/>
      <c r="J297" s="201"/>
      <c r="K297" s="386"/>
      <c r="L297" s="386"/>
      <c r="M297" s="388"/>
      <c r="N297" s="37"/>
      <c r="O297" s="389"/>
      <c r="P297" s="94"/>
      <c r="Q297" s="131"/>
      <c r="R297" s="165"/>
      <c r="S297" s="132"/>
      <c r="T297" s="201"/>
      <c r="U297" s="201"/>
      <c r="V297" s="95"/>
      <c r="X297" s="223"/>
      <c r="Y297" s="98"/>
      <c r="Z297" s="97"/>
      <c r="AA297" s="99"/>
    </row>
    <row r="298" spans="1:27" s="96" customFormat="1" hidden="1">
      <c r="A298" s="129"/>
      <c r="B298" s="94"/>
      <c r="C298" s="94"/>
      <c r="D298" s="184"/>
      <c r="E298" s="94"/>
      <c r="F298" s="94"/>
      <c r="G298" s="385"/>
      <c r="H298" s="386"/>
      <c r="I298" s="201"/>
      <c r="J298" s="201"/>
      <c r="K298" s="386"/>
      <c r="L298" s="386"/>
      <c r="M298" s="388"/>
      <c r="N298" s="37"/>
      <c r="O298" s="389"/>
      <c r="P298" s="94"/>
      <c r="Q298" s="131"/>
      <c r="R298" s="165"/>
      <c r="S298" s="132"/>
      <c r="T298" s="201"/>
      <c r="U298" s="201"/>
      <c r="V298" s="95"/>
      <c r="X298" s="223"/>
      <c r="Y298" s="98"/>
      <c r="Z298" s="97"/>
      <c r="AA298" s="99"/>
    </row>
    <row r="299" spans="1:27" s="96" customFormat="1" hidden="1">
      <c r="A299" s="129"/>
      <c r="B299" s="94"/>
      <c r="C299" s="94"/>
      <c r="D299" s="184"/>
      <c r="E299" s="94"/>
      <c r="F299" s="94"/>
      <c r="G299" s="385"/>
      <c r="H299" s="386"/>
      <c r="I299" s="201"/>
      <c r="J299" s="201"/>
      <c r="K299" s="386"/>
      <c r="L299" s="386"/>
      <c r="M299" s="388"/>
      <c r="N299" s="37"/>
      <c r="O299" s="389"/>
      <c r="P299" s="94"/>
      <c r="Q299" s="131"/>
      <c r="R299" s="165"/>
      <c r="S299" s="132"/>
      <c r="T299" s="201"/>
      <c r="U299" s="201"/>
      <c r="V299" s="95"/>
      <c r="X299" s="223"/>
      <c r="Y299" s="98"/>
      <c r="Z299" s="97"/>
      <c r="AA299" s="99"/>
    </row>
    <row r="300" spans="1:27" s="96" customFormat="1" hidden="1">
      <c r="A300" s="129"/>
      <c r="B300" s="94"/>
      <c r="C300" s="94"/>
      <c r="D300" s="184"/>
      <c r="E300" s="94"/>
      <c r="F300" s="94"/>
      <c r="G300" s="385"/>
      <c r="H300" s="386"/>
      <c r="I300" s="201"/>
      <c r="J300" s="201"/>
      <c r="K300" s="386"/>
      <c r="L300" s="386"/>
      <c r="M300" s="388"/>
      <c r="N300" s="37"/>
      <c r="O300" s="389"/>
      <c r="P300" s="94"/>
      <c r="Q300" s="131"/>
      <c r="R300" s="165"/>
      <c r="S300" s="132"/>
      <c r="T300" s="201"/>
      <c r="U300" s="201"/>
      <c r="V300" s="95"/>
      <c r="X300" s="223"/>
      <c r="Y300" s="98"/>
      <c r="Z300" s="97"/>
      <c r="AA300" s="99"/>
    </row>
    <row r="301" spans="1:27" s="96" customFormat="1" hidden="1">
      <c r="A301" s="129"/>
      <c r="B301" s="94"/>
      <c r="C301" s="94"/>
      <c r="D301" s="184"/>
      <c r="E301" s="94"/>
      <c r="F301" s="94"/>
      <c r="G301" s="385"/>
      <c r="H301" s="386"/>
      <c r="I301" s="201"/>
      <c r="J301" s="201"/>
      <c r="K301" s="386"/>
      <c r="L301" s="386"/>
      <c r="M301" s="388"/>
      <c r="N301" s="37"/>
      <c r="O301" s="389"/>
      <c r="P301" s="94"/>
      <c r="Q301" s="131"/>
      <c r="R301" s="165"/>
      <c r="S301" s="132"/>
      <c r="T301" s="201"/>
      <c r="U301" s="201"/>
      <c r="V301" s="95"/>
      <c r="X301" s="223"/>
      <c r="Y301" s="98"/>
      <c r="Z301" s="97"/>
      <c r="AA301" s="99"/>
    </row>
    <row r="302" spans="1:27" s="96" customFormat="1" hidden="1">
      <c r="A302" s="129"/>
      <c r="B302" s="94"/>
      <c r="C302" s="94"/>
      <c r="D302" s="184"/>
      <c r="E302" s="94"/>
      <c r="F302" s="94"/>
      <c r="G302" s="385"/>
      <c r="H302" s="386"/>
      <c r="I302" s="201"/>
      <c r="J302" s="201"/>
      <c r="K302" s="386"/>
      <c r="L302" s="386"/>
      <c r="M302" s="388"/>
      <c r="N302" s="37"/>
      <c r="O302" s="389"/>
      <c r="P302" s="94"/>
      <c r="Q302" s="131"/>
      <c r="R302" s="165"/>
      <c r="S302" s="132"/>
      <c r="T302" s="201"/>
      <c r="U302" s="201"/>
      <c r="V302" s="95"/>
      <c r="X302" s="223"/>
      <c r="Y302" s="98"/>
      <c r="Z302" s="97"/>
      <c r="AA302" s="99"/>
    </row>
    <row r="303" spans="1:27" s="96" customFormat="1" hidden="1">
      <c r="A303" s="129"/>
      <c r="B303" s="94"/>
      <c r="C303" s="94"/>
      <c r="D303" s="184"/>
      <c r="E303" s="94"/>
      <c r="F303" s="94"/>
      <c r="G303" s="385"/>
      <c r="H303" s="386"/>
      <c r="I303" s="201"/>
      <c r="J303" s="201"/>
      <c r="K303" s="386"/>
      <c r="L303" s="386"/>
      <c r="M303" s="388"/>
      <c r="N303" s="37"/>
      <c r="O303" s="389"/>
      <c r="P303" s="94"/>
      <c r="Q303" s="131"/>
      <c r="R303" s="165"/>
      <c r="S303" s="132"/>
      <c r="T303" s="201"/>
      <c r="U303" s="201"/>
      <c r="V303" s="95"/>
      <c r="X303" s="223"/>
      <c r="Y303" s="98"/>
      <c r="Z303" s="97"/>
      <c r="AA303" s="99"/>
    </row>
    <row r="304" spans="1:27" s="96" customFormat="1" hidden="1">
      <c r="A304" s="129"/>
      <c r="B304" s="94"/>
      <c r="C304" s="94"/>
      <c r="D304" s="184"/>
      <c r="E304" s="94"/>
      <c r="F304" s="94"/>
      <c r="G304" s="385"/>
      <c r="H304" s="386"/>
      <c r="I304" s="201"/>
      <c r="J304" s="201"/>
      <c r="K304" s="386"/>
      <c r="L304" s="386"/>
      <c r="M304" s="388"/>
      <c r="N304" s="37"/>
      <c r="O304" s="389"/>
      <c r="P304" s="94"/>
      <c r="Q304" s="131"/>
      <c r="R304" s="165"/>
      <c r="S304" s="132"/>
      <c r="T304" s="201"/>
      <c r="U304" s="201"/>
      <c r="V304" s="95"/>
      <c r="X304" s="223"/>
      <c r="Y304" s="98"/>
      <c r="Z304" s="97"/>
      <c r="AA304" s="99"/>
    </row>
    <row r="305" spans="1:27" s="96" customFormat="1" hidden="1">
      <c r="A305" s="129"/>
      <c r="B305" s="94"/>
      <c r="C305" s="94"/>
      <c r="D305" s="184"/>
      <c r="E305" s="94"/>
      <c r="F305" s="94"/>
      <c r="G305" s="385"/>
      <c r="H305" s="386"/>
      <c r="I305" s="201"/>
      <c r="J305" s="201"/>
      <c r="K305" s="386"/>
      <c r="L305" s="386"/>
      <c r="M305" s="388"/>
      <c r="N305" s="37"/>
      <c r="O305" s="389"/>
      <c r="P305" s="94"/>
      <c r="Q305" s="131"/>
      <c r="R305" s="165"/>
      <c r="S305" s="132"/>
      <c r="T305" s="201"/>
      <c r="U305" s="201"/>
      <c r="V305" s="95"/>
      <c r="X305" s="223"/>
      <c r="Y305" s="98"/>
      <c r="Z305" s="97"/>
      <c r="AA305" s="99"/>
    </row>
    <row r="306" spans="1:27" s="96" customFormat="1" hidden="1">
      <c r="A306" s="129"/>
      <c r="B306" s="94"/>
      <c r="C306" s="94"/>
      <c r="D306" s="184"/>
      <c r="E306" s="94"/>
      <c r="F306" s="94"/>
      <c r="G306" s="385"/>
      <c r="H306" s="386"/>
      <c r="I306" s="201"/>
      <c r="J306" s="201"/>
      <c r="K306" s="386"/>
      <c r="L306" s="386"/>
      <c r="M306" s="388"/>
      <c r="N306" s="37"/>
      <c r="O306" s="389"/>
      <c r="P306" s="94"/>
      <c r="Q306" s="131"/>
      <c r="R306" s="165"/>
      <c r="S306" s="132"/>
      <c r="T306" s="201"/>
      <c r="U306" s="201"/>
      <c r="V306" s="95"/>
      <c r="X306" s="223"/>
      <c r="Y306" s="98"/>
      <c r="Z306" s="97"/>
      <c r="AA306" s="99"/>
    </row>
    <row r="307" spans="1:27" s="96" customFormat="1" hidden="1">
      <c r="A307" s="129"/>
      <c r="B307" s="94"/>
      <c r="C307" s="94"/>
      <c r="D307" s="184"/>
      <c r="E307" s="94"/>
      <c r="F307" s="94"/>
      <c r="G307" s="385"/>
      <c r="H307" s="386"/>
      <c r="I307" s="201"/>
      <c r="J307" s="201"/>
      <c r="K307" s="386"/>
      <c r="L307" s="386"/>
      <c r="M307" s="388"/>
      <c r="N307" s="37"/>
      <c r="O307" s="389"/>
      <c r="P307" s="94"/>
      <c r="Q307" s="131"/>
      <c r="R307" s="165"/>
      <c r="S307" s="132"/>
      <c r="T307" s="201"/>
      <c r="U307" s="201"/>
      <c r="V307" s="95"/>
      <c r="X307" s="223"/>
      <c r="Y307" s="98"/>
      <c r="Z307" s="97"/>
      <c r="AA307" s="99"/>
    </row>
    <row r="308" spans="1:27" s="96" customFormat="1" hidden="1">
      <c r="A308" s="129"/>
      <c r="B308" s="94"/>
      <c r="C308" s="94"/>
      <c r="D308" s="184"/>
      <c r="E308" s="94"/>
      <c r="F308" s="94"/>
      <c r="G308" s="385"/>
      <c r="H308" s="386"/>
      <c r="I308" s="201"/>
      <c r="J308" s="201"/>
      <c r="K308" s="386"/>
      <c r="L308" s="386"/>
      <c r="M308" s="388"/>
      <c r="N308" s="37"/>
      <c r="O308" s="389"/>
      <c r="P308" s="94"/>
      <c r="Q308" s="131"/>
      <c r="R308" s="165"/>
      <c r="S308" s="132"/>
      <c r="T308" s="201"/>
      <c r="U308" s="201"/>
      <c r="V308" s="95"/>
      <c r="X308" s="223"/>
      <c r="Y308" s="98"/>
      <c r="Z308" s="97"/>
      <c r="AA308" s="99"/>
    </row>
    <row r="309" spans="1:27" s="96" customFormat="1" hidden="1">
      <c r="A309" s="129"/>
      <c r="B309" s="94"/>
      <c r="C309" s="94"/>
      <c r="D309" s="184"/>
      <c r="E309" s="94"/>
      <c r="F309" s="94"/>
      <c r="G309" s="385"/>
      <c r="H309" s="386"/>
      <c r="I309" s="201"/>
      <c r="J309" s="201"/>
      <c r="K309" s="386"/>
      <c r="L309" s="386"/>
      <c r="M309" s="388"/>
      <c r="N309" s="37"/>
      <c r="O309" s="389"/>
      <c r="P309" s="94"/>
      <c r="Q309" s="131"/>
      <c r="R309" s="165"/>
      <c r="S309" s="132"/>
      <c r="T309" s="201"/>
      <c r="U309" s="201"/>
      <c r="V309" s="95"/>
      <c r="X309" s="223"/>
      <c r="Y309" s="98"/>
      <c r="Z309" s="97"/>
      <c r="AA309" s="99"/>
    </row>
    <row r="310" spans="1:27" s="96" customFormat="1" hidden="1">
      <c r="A310" s="129"/>
      <c r="B310" s="94"/>
      <c r="C310" s="94"/>
      <c r="D310" s="184"/>
      <c r="E310" s="94"/>
      <c r="F310" s="94"/>
      <c r="G310" s="385"/>
      <c r="H310" s="386"/>
      <c r="I310" s="201"/>
      <c r="J310" s="201"/>
      <c r="K310" s="386"/>
      <c r="L310" s="386"/>
      <c r="M310" s="388"/>
      <c r="N310" s="37"/>
      <c r="O310" s="389"/>
      <c r="P310" s="94"/>
      <c r="Q310" s="131"/>
      <c r="R310" s="165"/>
      <c r="S310" s="132"/>
      <c r="T310" s="201"/>
      <c r="U310" s="201"/>
      <c r="V310" s="95"/>
      <c r="X310" s="223"/>
      <c r="Y310" s="98"/>
      <c r="Z310" s="97"/>
      <c r="AA310" s="99"/>
    </row>
    <row r="311" spans="1:27" s="96" customFormat="1" hidden="1">
      <c r="A311" s="129"/>
      <c r="B311" s="94"/>
      <c r="C311" s="94"/>
      <c r="D311" s="184"/>
      <c r="E311" s="94"/>
      <c r="F311" s="94"/>
      <c r="G311" s="385"/>
      <c r="H311" s="386"/>
      <c r="I311" s="201"/>
      <c r="J311" s="201"/>
      <c r="K311" s="386"/>
      <c r="L311" s="386"/>
      <c r="M311" s="388"/>
      <c r="N311" s="37"/>
      <c r="O311" s="389"/>
      <c r="P311" s="94"/>
      <c r="Q311" s="131"/>
      <c r="R311" s="165"/>
      <c r="S311" s="132"/>
      <c r="T311" s="201"/>
      <c r="U311" s="201"/>
      <c r="V311" s="95"/>
      <c r="X311" s="223"/>
      <c r="Y311" s="98"/>
      <c r="Z311" s="97"/>
      <c r="AA311" s="99"/>
    </row>
    <row r="312" spans="1:27" s="96" customFormat="1" hidden="1">
      <c r="A312" s="129"/>
      <c r="B312" s="94"/>
      <c r="C312" s="94"/>
      <c r="D312" s="184"/>
      <c r="E312" s="94"/>
      <c r="F312" s="94"/>
      <c r="G312" s="385"/>
      <c r="H312" s="386"/>
      <c r="I312" s="201"/>
      <c r="J312" s="201"/>
      <c r="K312" s="386"/>
      <c r="L312" s="386"/>
      <c r="M312" s="388"/>
      <c r="N312" s="37"/>
      <c r="O312" s="389"/>
      <c r="P312" s="94"/>
      <c r="Q312" s="131"/>
      <c r="R312" s="165"/>
      <c r="S312" s="132"/>
      <c r="T312" s="201"/>
      <c r="U312" s="201"/>
      <c r="V312" s="95"/>
      <c r="X312" s="223"/>
      <c r="Y312" s="98"/>
      <c r="Z312" s="97"/>
      <c r="AA312" s="99"/>
    </row>
    <row r="313" spans="1:27" s="96" customFormat="1">
      <c r="A313" s="129"/>
      <c r="B313" s="94"/>
      <c r="C313" s="94"/>
      <c r="D313" s="184"/>
      <c r="E313" s="94"/>
      <c r="F313" s="94"/>
      <c r="G313" s="385"/>
      <c r="H313" s="386"/>
      <c r="I313" s="201"/>
      <c r="J313" s="201"/>
      <c r="K313" s="386"/>
      <c r="L313" s="386"/>
      <c r="M313" s="388"/>
      <c r="N313" s="37"/>
      <c r="O313" s="389"/>
      <c r="P313" s="94"/>
      <c r="Q313" s="131"/>
      <c r="R313" s="165"/>
      <c r="S313" s="132"/>
      <c r="T313" s="131"/>
      <c r="U313" s="131"/>
      <c r="V313" s="95"/>
      <c r="X313" s="223"/>
      <c r="Y313" s="98"/>
      <c r="Z313" s="97"/>
      <c r="AA313" s="99"/>
    </row>
    <row r="314" spans="1:27" s="96" customFormat="1">
      <c r="A314" s="129"/>
      <c r="B314" s="94"/>
      <c r="C314" s="94"/>
      <c r="D314" s="184"/>
      <c r="E314" s="94"/>
      <c r="F314" s="94"/>
      <c r="G314" s="385"/>
      <c r="H314" s="386"/>
      <c r="I314" s="201"/>
      <c r="J314" s="201"/>
      <c r="K314" s="386"/>
      <c r="L314" s="201"/>
      <c r="M314" s="388"/>
      <c r="N314" s="37"/>
      <c r="O314" s="389"/>
      <c r="P314" s="94"/>
      <c r="Q314" s="131"/>
      <c r="R314" s="165"/>
      <c r="S314" s="132"/>
      <c r="T314" s="131"/>
      <c r="U314" s="131"/>
      <c r="V314" s="95"/>
      <c r="X314" s="223"/>
      <c r="Y314" s="98"/>
      <c r="Z314" s="97"/>
      <c r="AA314" s="99"/>
    </row>
    <row r="315" spans="1:27" s="96" customFormat="1" hidden="1">
      <c r="A315" s="129"/>
      <c r="B315" s="94"/>
      <c r="C315" s="94"/>
      <c r="D315" s="184"/>
      <c r="E315" s="94"/>
      <c r="F315" s="94"/>
      <c r="G315" s="385"/>
      <c r="H315" s="386"/>
      <c r="I315" s="201"/>
      <c r="J315" s="201"/>
      <c r="K315" s="386"/>
      <c r="L315" s="201"/>
      <c r="M315" s="388"/>
      <c r="N315" s="37"/>
      <c r="O315" s="389"/>
      <c r="P315" s="94"/>
      <c r="Q315" s="131"/>
      <c r="R315" s="165"/>
      <c r="S315" s="132"/>
      <c r="T315" s="201"/>
      <c r="U315" s="201"/>
      <c r="V315" s="95"/>
      <c r="X315" s="223"/>
      <c r="Y315" s="98"/>
      <c r="Z315" s="97"/>
      <c r="AA315" s="99"/>
    </row>
    <row r="316" spans="1:27" s="96" customFormat="1" ht="28.15" hidden="1" customHeight="1">
      <c r="A316" s="129"/>
      <c r="B316" s="94"/>
      <c r="C316" s="94"/>
      <c r="D316" s="184"/>
      <c r="E316" s="94"/>
      <c r="F316" s="94"/>
      <c r="G316" s="385"/>
      <c r="H316" s="386"/>
      <c r="I316" s="201"/>
      <c r="J316" s="201"/>
      <c r="K316" s="386"/>
      <c r="L316" s="201"/>
      <c r="M316" s="388"/>
      <c r="N316" s="37"/>
      <c r="O316" s="389"/>
      <c r="P316" s="94"/>
      <c r="Q316" s="131"/>
      <c r="R316" s="165"/>
      <c r="S316" s="132"/>
      <c r="T316" s="201"/>
      <c r="U316" s="201"/>
      <c r="V316" s="95"/>
      <c r="X316" s="223"/>
      <c r="Y316" s="98"/>
      <c r="Z316" s="97"/>
      <c r="AA316" s="99"/>
    </row>
    <row r="317" spans="1:27" s="96" customFormat="1" hidden="1">
      <c r="A317" s="129"/>
      <c r="B317" s="94"/>
      <c r="C317" s="94"/>
      <c r="D317" s="184"/>
      <c r="E317" s="94"/>
      <c r="F317" s="94"/>
      <c r="G317" s="385"/>
      <c r="H317" s="386"/>
      <c r="I317" s="201"/>
      <c r="J317" s="201"/>
      <c r="K317" s="386"/>
      <c r="L317" s="201"/>
      <c r="M317" s="388"/>
      <c r="N317" s="37"/>
      <c r="O317" s="389"/>
      <c r="P317" s="94"/>
      <c r="Q317" s="131"/>
      <c r="R317" s="165"/>
      <c r="S317" s="132"/>
      <c r="T317" s="201"/>
      <c r="U317" s="201"/>
      <c r="V317" s="95"/>
      <c r="X317" s="223"/>
      <c r="Y317" s="98"/>
      <c r="Z317" s="97"/>
      <c r="AA317" s="99"/>
    </row>
    <row r="318" spans="1:27" s="96" customFormat="1" hidden="1">
      <c r="A318" s="129"/>
      <c r="B318" s="94"/>
      <c r="C318" s="94"/>
      <c r="D318" s="184"/>
      <c r="E318" s="94"/>
      <c r="F318" s="94"/>
      <c r="G318" s="385"/>
      <c r="H318" s="386"/>
      <c r="I318" s="201"/>
      <c r="J318" s="201"/>
      <c r="K318" s="386"/>
      <c r="L318" s="201"/>
      <c r="M318" s="388"/>
      <c r="N318" s="37"/>
      <c r="O318" s="389"/>
      <c r="P318" s="94"/>
      <c r="Q318" s="131"/>
      <c r="R318" s="165"/>
      <c r="S318" s="132"/>
      <c r="T318" s="201"/>
      <c r="U318" s="201"/>
      <c r="V318" s="95"/>
      <c r="X318" s="223"/>
      <c r="Y318" s="98"/>
      <c r="Z318" s="97"/>
      <c r="AA318" s="99"/>
    </row>
    <row r="319" spans="1:27" s="96" customFormat="1" hidden="1">
      <c r="A319" s="129"/>
      <c r="B319" s="94"/>
      <c r="C319" s="94"/>
      <c r="D319" s="184"/>
      <c r="E319" s="94"/>
      <c r="F319" s="94"/>
      <c r="G319" s="385"/>
      <c r="H319" s="386"/>
      <c r="I319" s="201"/>
      <c r="J319" s="201"/>
      <c r="K319" s="386"/>
      <c r="L319" s="201"/>
      <c r="M319" s="388"/>
      <c r="N319" s="37"/>
      <c r="O319" s="389"/>
      <c r="P319" s="94"/>
      <c r="Q319" s="131"/>
      <c r="R319" s="165"/>
      <c r="S319" s="132"/>
      <c r="T319" s="201"/>
      <c r="U319" s="201"/>
      <c r="V319" s="95"/>
      <c r="X319" s="223"/>
      <c r="Y319" s="98"/>
      <c r="Z319" s="97"/>
      <c r="AA319" s="99"/>
    </row>
    <row r="320" spans="1:27" s="96" customFormat="1" hidden="1">
      <c r="A320" s="129"/>
      <c r="B320" s="94"/>
      <c r="C320" s="94"/>
      <c r="D320" s="184"/>
      <c r="E320" s="94"/>
      <c r="F320" s="94"/>
      <c r="G320" s="385"/>
      <c r="H320" s="386"/>
      <c r="I320" s="201"/>
      <c r="J320" s="201"/>
      <c r="K320" s="386"/>
      <c r="L320" s="201"/>
      <c r="M320" s="388"/>
      <c r="N320" s="37"/>
      <c r="O320" s="389"/>
      <c r="P320" s="94"/>
      <c r="Q320" s="131"/>
      <c r="R320" s="165"/>
      <c r="S320" s="132"/>
      <c r="T320" s="201"/>
      <c r="U320" s="201"/>
      <c r="V320" s="95"/>
      <c r="X320" s="223"/>
      <c r="Y320" s="98"/>
      <c r="Z320" s="97"/>
      <c r="AA320" s="99"/>
    </row>
    <row r="321" spans="1:27" s="96" customFormat="1" hidden="1">
      <c r="A321" s="129"/>
      <c r="B321" s="94"/>
      <c r="C321" s="94"/>
      <c r="D321" s="184"/>
      <c r="E321" s="94"/>
      <c r="F321" s="94"/>
      <c r="G321" s="385"/>
      <c r="H321" s="386"/>
      <c r="I321" s="201"/>
      <c r="J321" s="201"/>
      <c r="K321" s="386"/>
      <c r="L321" s="201"/>
      <c r="M321" s="388"/>
      <c r="N321" s="37"/>
      <c r="O321" s="389"/>
      <c r="P321" s="94"/>
      <c r="Q321" s="131"/>
      <c r="R321" s="165"/>
      <c r="S321" s="132"/>
      <c r="T321" s="201"/>
      <c r="U321" s="201"/>
      <c r="V321" s="95"/>
      <c r="X321" s="223"/>
      <c r="Y321" s="98"/>
      <c r="Z321" s="97"/>
      <c r="AA321" s="99"/>
    </row>
    <row r="322" spans="1:27" s="96" customFormat="1" hidden="1">
      <c r="A322" s="129"/>
      <c r="B322" s="94"/>
      <c r="C322" s="94"/>
      <c r="D322" s="184"/>
      <c r="E322" s="94"/>
      <c r="F322" s="94"/>
      <c r="G322" s="385"/>
      <c r="H322" s="386"/>
      <c r="I322" s="201"/>
      <c r="J322" s="201"/>
      <c r="K322" s="386"/>
      <c r="L322" s="201"/>
      <c r="M322" s="388"/>
      <c r="N322" s="37"/>
      <c r="O322" s="389"/>
      <c r="P322" s="94"/>
      <c r="Q322" s="131"/>
      <c r="R322" s="165"/>
      <c r="S322" s="132"/>
      <c r="T322" s="201"/>
      <c r="U322" s="201"/>
      <c r="V322" s="95"/>
      <c r="X322" s="223"/>
      <c r="Y322" s="98"/>
      <c r="Z322" s="97"/>
      <c r="AA322" s="99"/>
    </row>
    <row r="323" spans="1:27" s="96" customFormat="1" hidden="1">
      <c r="A323" s="129"/>
      <c r="B323" s="94"/>
      <c r="C323" s="94"/>
      <c r="D323" s="184"/>
      <c r="E323" s="94"/>
      <c r="F323" s="94"/>
      <c r="G323" s="385"/>
      <c r="H323" s="386"/>
      <c r="I323" s="201"/>
      <c r="J323" s="201"/>
      <c r="K323" s="386"/>
      <c r="L323" s="201"/>
      <c r="M323" s="388"/>
      <c r="N323" s="37"/>
      <c r="O323" s="389"/>
      <c r="P323" s="94"/>
      <c r="Q323" s="131"/>
      <c r="R323" s="165"/>
      <c r="S323" s="132"/>
      <c r="T323" s="201"/>
      <c r="U323" s="201"/>
      <c r="V323" s="95"/>
      <c r="X323" s="223"/>
      <c r="Y323" s="98"/>
      <c r="Z323" s="97"/>
      <c r="AA323" s="99"/>
    </row>
    <row r="324" spans="1:27" s="96" customFormat="1" hidden="1">
      <c r="A324" s="129"/>
      <c r="B324" s="94"/>
      <c r="C324" s="94"/>
      <c r="D324" s="184"/>
      <c r="E324" s="94"/>
      <c r="F324" s="94"/>
      <c r="G324" s="385"/>
      <c r="H324" s="386"/>
      <c r="I324" s="201"/>
      <c r="J324" s="201"/>
      <c r="K324" s="386"/>
      <c r="L324" s="201"/>
      <c r="M324" s="388"/>
      <c r="N324" s="37"/>
      <c r="O324" s="389"/>
      <c r="P324" s="94"/>
      <c r="Q324" s="131"/>
      <c r="R324" s="165"/>
      <c r="S324" s="132"/>
      <c r="T324" s="201"/>
      <c r="U324" s="201"/>
      <c r="V324" s="95"/>
      <c r="X324" s="223"/>
      <c r="Y324" s="98"/>
      <c r="Z324" s="97"/>
      <c r="AA324" s="99"/>
    </row>
    <row r="325" spans="1:27" s="96" customFormat="1" hidden="1">
      <c r="A325" s="129"/>
      <c r="B325" s="94"/>
      <c r="C325" s="94"/>
      <c r="D325" s="184"/>
      <c r="E325" s="94"/>
      <c r="F325" s="94"/>
      <c r="G325" s="385"/>
      <c r="H325" s="386"/>
      <c r="I325" s="201"/>
      <c r="J325" s="201"/>
      <c r="K325" s="386"/>
      <c r="L325" s="201"/>
      <c r="M325" s="388"/>
      <c r="N325" s="37"/>
      <c r="O325" s="389"/>
      <c r="P325" s="94"/>
      <c r="Q325" s="131"/>
      <c r="R325" s="165"/>
      <c r="S325" s="132"/>
      <c r="T325" s="201"/>
      <c r="U325" s="201"/>
      <c r="V325" s="95"/>
      <c r="X325" s="223"/>
      <c r="Y325" s="98"/>
      <c r="Z325" s="97"/>
      <c r="AA325" s="99"/>
    </row>
    <row r="326" spans="1:27" s="96" customFormat="1" hidden="1">
      <c r="A326" s="129"/>
      <c r="B326" s="94"/>
      <c r="C326" s="94"/>
      <c r="D326" s="184"/>
      <c r="E326" s="94"/>
      <c r="F326" s="94"/>
      <c r="G326" s="385"/>
      <c r="H326" s="386"/>
      <c r="I326" s="201"/>
      <c r="J326" s="201"/>
      <c r="K326" s="386"/>
      <c r="L326" s="201"/>
      <c r="M326" s="388"/>
      <c r="N326" s="37"/>
      <c r="O326" s="389"/>
      <c r="P326" s="94"/>
      <c r="Q326" s="131"/>
      <c r="R326" s="165"/>
      <c r="S326" s="132"/>
      <c r="T326" s="201"/>
      <c r="U326" s="201"/>
      <c r="V326" s="95"/>
      <c r="X326" s="223"/>
      <c r="Y326" s="98"/>
      <c r="Z326" s="97"/>
      <c r="AA326" s="99"/>
    </row>
    <row r="327" spans="1:27" s="96" customFormat="1" hidden="1">
      <c r="A327" s="129"/>
      <c r="B327" s="94"/>
      <c r="C327" s="94"/>
      <c r="D327" s="184"/>
      <c r="E327" s="94"/>
      <c r="F327" s="94"/>
      <c r="G327" s="385"/>
      <c r="H327" s="386"/>
      <c r="I327" s="201"/>
      <c r="J327" s="201"/>
      <c r="K327" s="386"/>
      <c r="L327" s="386"/>
      <c r="M327" s="388"/>
      <c r="N327" s="37"/>
      <c r="O327" s="389"/>
      <c r="P327" s="94"/>
      <c r="Q327" s="131"/>
      <c r="R327" s="165"/>
      <c r="S327" s="132"/>
      <c r="T327" s="201"/>
      <c r="U327" s="201"/>
      <c r="V327" s="95"/>
      <c r="X327" s="223"/>
      <c r="Y327" s="98"/>
      <c r="Z327" s="97"/>
      <c r="AA327" s="99"/>
    </row>
    <row r="328" spans="1:27" s="98" customFormat="1" hidden="1">
      <c r="A328" s="129"/>
      <c r="B328" s="94"/>
      <c r="C328" s="94"/>
      <c r="D328" s="184"/>
      <c r="E328" s="94"/>
      <c r="F328" s="94"/>
      <c r="G328" s="385"/>
      <c r="H328" s="386"/>
      <c r="I328" s="201"/>
      <c r="J328" s="201"/>
      <c r="K328" s="386"/>
      <c r="L328" s="386"/>
      <c r="M328" s="388"/>
      <c r="N328" s="37"/>
      <c r="O328" s="389"/>
      <c r="P328" s="94"/>
      <c r="Q328" s="131"/>
      <c r="R328" s="165"/>
      <c r="S328" s="132"/>
      <c r="T328" s="201"/>
      <c r="U328" s="201"/>
      <c r="V328" s="95"/>
      <c r="W328" s="96"/>
      <c r="X328" s="223"/>
      <c r="Z328" s="97"/>
      <c r="AA328" s="99"/>
    </row>
    <row r="329" spans="1:27" s="98" customFormat="1" hidden="1">
      <c r="A329" s="129"/>
      <c r="B329" s="94"/>
      <c r="C329" s="94"/>
      <c r="D329" s="184"/>
      <c r="E329" s="94"/>
      <c r="F329" s="94"/>
      <c r="G329" s="385"/>
      <c r="H329" s="386"/>
      <c r="I329" s="201"/>
      <c r="J329" s="201"/>
      <c r="K329" s="386"/>
      <c r="L329" s="386"/>
      <c r="M329" s="388"/>
      <c r="N329" s="37"/>
      <c r="O329" s="389"/>
      <c r="P329" s="94"/>
      <c r="Q329" s="131"/>
      <c r="R329" s="165"/>
      <c r="S329" s="132"/>
      <c r="T329" s="201"/>
      <c r="U329" s="201"/>
      <c r="V329" s="95"/>
      <c r="W329" s="96"/>
      <c r="X329" s="223"/>
      <c r="Z329" s="97"/>
      <c r="AA329" s="99"/>
    </row>
    <row r="330" spans="1:27" s="98" customFormat="1" hidden="1">
      <c r="A330" s="129"/>
      <c r="B330" s="94"/>
      <c r="C330" s="94"/>
      <c r="D330" s="184"/>
      <c r="E330" s="94"/>
      <c r="F330" s="94"/>
      <c r="G330" s="385"/>
      <c r="H330" s="386"/>
      <c r="I330" s="201"/>
      <c r="J330" s="201"/>
      <c r="K330" s="386"/>
      <c r="L330" s="386"/>
      <c r="M330" s="388"/>
      <c r="N330" s="37"/>
      <c r="O330" s="389"/>
      <c r="P330" s="94"/>
      <c r="Q330" s="131"/>
      <c r="R330" s="165"/>
      <c r="S330" s="132"/>
      <c r="T330" s="201"/>
      <c r="U330" s="201"/>
      <c r="V330" s="95"/>
      <c r="W330" s="96"/>
      <c r="X330" s="223"/>
      <c r="Z330" s="97"/>
      <c r="AA330" s="99"/>
    </row>
    <row r="331" spans="1:27" s="98" customFormat="1" hidden="1">
      <c r="A331" s="129"/>
      <c r="B331" s="94"/>
      <c r="C331" s="94"/>
      <c r="D331" s="184"/>
      <c r="E331" s="94"/>
      <c r="F331" s="94"/>
      <c r="G331" s="385"/>
      <c r="H331" s="386"/>
      <c r="I331" s="201"/>
      <c r="J331" s="201"/>
      <c r="K331" s="386"/>
      <c r="L331" s="386"/>
      <c r="M331" s="388"/>
      <c r="N331" s="37"/>
      <c r="O331" s="389"/>
      <c r="P331" s="94"/>
      <c r="Q331" s="131"/>
      <c r="R331" s="165"/>
      <c r="S331" s="132"/>
      <c r="T331" s="201"/>
      <c r="U331" s="201"/>
      <c r="V331" s="95"/>
      <c r="W331" s="96"/>
      <c r="X331" s="402"/>
      <c r="Z331" s="97"/>
      <c r="AA331" s="99"/>
    </row>
    <row r="332" spans="1:27" s="98" customFormat="1" hidden="1">
      <c r="A332" s="129"/>
      <c r="B332" s="94"/>
      <c r="C332" s="94"/>
      <c r="D332" s="184"/>
      <c r="E332" s="94"/>
      <c r="F332" s="94"/>
      <c r="G332" s="385"/>
      <c r="H332" s="386"/>
      <c r="I332" s="201"/>
      <c r="J332" s="201"/>
      <c r="K332" s="386"/>
      <c r="L332" s="386"/>
      <c r="M332" s="388"/>
      <c r="N332" s="37"/>
      <c r="O332" s="389"/>
      <c r="P332" s="94"/>
      <c r="Q332" s="131"/>
      <c r="R332" s="165"/>
      <c r="S332" s="132"/>
      <c r="T332" s="201"/>
      <c r="U332" s="201"/>
      <c r="V332" s="95"/>
      <c r="W332" s="96"/>
      <c r="X332" s="402"/>
      <c r="Z332" s="97"/>
      <c r="AA332" s="99"/>
    </row>
    <row r="333" spans="1:27" s="98" customFormat="1" hidden="1">
      <c r="A333" s="129"/>
      <c r="B333" s="94"/>
      <c r="C333" s="94"/>
      <c r="D333" s="184"/>
      <c r="E333" s="94"/>
      <c r="F333" s="94"/>
      <c r="G333" s="385"/>
      <c r="H333" s="386"/>
      <c r="I333" s="201"/>
      <c r="J333" s="201"/>
      <c r="K333" s="386"/>
      <c r="L333" s="386"/>
      <c r="M333" s="388"/>
      <c r="N333" s="37"/>
      <c r="O333" s="389"/>
      <c r="P333" s="94"/>
      <c r="Q333" s="131"/>
      <c r="R333" s="165"/>
      <c r="S333" s="132"/>
      <c r="T333" s="201"/>
      <c r="U333" s="201"/>
      <c r="V333" s="95"/>
      <c r="W333" s="96"/>
      <c r="X333" s="402"/>
      <c r="Z333" s="97"/>
      <c r="AA333" s="99"/>
    </row>
    <row r="334" spans="1:27" s="98" customFormat="1" hidden="1">
      <c r="A334" s="129"/>
      <c r="B334" s="94"/>
      <c r="C334" s="94"/>
      <c r="D334" s="184"/>
      <c r="E334" s="94"/>
      <c r="F334" s="94"/>
      <c r="G334" s="385"/>
      <c r="H334" s="386"/>
      <c r="I334" s="201"/>
      <c r="J334" s="201"/>
      <c r="K334" s="386"/>
      <c r="L334" s="386"/>
      <c r="M334" s="388"/>
      <c r="N334" s="37"/>
      <c r="O334" s="389"/>
      <c r="P334" s="94"/>
      <c r="Q334" s="131"/>
      <c r="R334" s="165"/>
      <c r="S334" s="132"/>
      <c r="T334" s="201"/>
      <c r="U334" s="201"/>
      <c r="V334" s="95"/>
      <c r="W334" s="96"/>
      <c r="X334" s="402"/>
      <c r="Z334" s="97"/>
      <c r="AA334" s="99"/>
    </row>
    <row r="335" spans="1:27" s="98" customFormat="1">
      <c r="A335" s="129"/>
      <c r="B335" s="94"/>
      <c r="C335" s="94"/>
      <c r="D335" s="184"/>
      <c r="E335" s="94"/>
      <c r="F335" s="94"/>
      <c r="G335" s="385"/>
      <c r="H335" s="386"/>
      <c r="I335" s="201"/>
      <c r="J335" s="201"/>
      <c r="K335" s="386"/>
      <c r="L335" s="386"/>
      <c r="M335" s="388"/>
      <c r="N335" s="37"/>
      <c r="O335" s="389"/>
      <c r="P335" s="94"/>
      <c r="Q335" s="131"/>
      <c r="R335" s="165"/>
      <c r="S335" s="132"/>
      <c r="T335" s="201"/>
      <c r="U335" s="201"/>
      <c r="V335" s="95"/>
      <c r="W335" s="96"/>
      <c r="X335" s="402"/>
      <c r="Z335" s="97"/>
      <c r="AA335" s="99"/>
    </row>
    <row r="336" spans="1:27" s="98" customFormat="1" hidden="1">
      <c r="A336" s="129"/>
      <c r="B336" s="94"/>
      <c r="C336" s="94"/>
      <c r="D336" s="184"/>
      <c r="E336" s="94"/>
      <c r="F336" s="94"/>
      <c r="G336" s="385"/>
      <c r="H336" s="386"/>
      <c r="I336" s="201"/>
      <c r="J336" s="201"/>
      <c r="K336" s="386"/>
      <c r="L336" s="386"/>
      <c r="M336" s="388"/>
      <c r="N336" s="37"/>
      <c r="O336" s="389"/>
      <c r="P336" s="94"/>
      <c r="Q336" s="131"/>
      <c r="R336" s="165"/>
      <c r="S336" s="132"/>
      <c r="T336" s="201"/>
      <c r="U336" s="201"/>
      <c r="V336" s="95"/>
      <c r="W336" s="96"/>
      <c r="X336" s="402"/>
      <c r="Z336" s="97"/>
      <c r="AA336" s="99"/>
    </row>
    <row r="337" spans="1:27" s="98" customFormat="1" hidden="1">
      <c r="A337" s="129"/>
      <c r="B337" s="94"/>
      <c r="C337" s="94"/>
      <c r="D337" s="184"/>
      <c r="E337" s="94"/>
      <c r="F337" s="94"/>
      <c r="G337" s="385"/>
      <c r="H337" s="386"/>
      <c r="I337" s="201"/>
      <c r="J337" s="201"/>
      <c r="K337" s="386"/>
      <c r="L337" s="386"/>
      <c r="M337" s="388"/>
      <c r="N337" s="37"/>
      <c r="O337" s="389"/>
      <c r="P337" s="94"/>
      <c r="Q337" s="131"/>
      <c r="R337" s="165"/>
      <c r="S337" s="132"/>
      <c r="T337" s="201"/>
      <c r="U337" s="201"/>
      <c r="V337" s="95"/>
      <c r="W337" s="96"/>
      <c r="X337" s="402"/>
      <c r="Z337" s="97"/>
      <c r="AA337" s="99"/>
    </row>
    <row r="338" spans="1:27" s="98" customFormat="1" hidden="1">
      <c r="A338" s="129"/>
      <c r="B338" s="94"/>
      <c r="C338" s="94"/>
      <c r="D338" s="184"/>
      <c r="E338" s="94"/>
      <c r="F338" s="94"/>
      <c r="G338" s="385"/>
      <c r="H338" s="386"/>
      <c r="I338" s="201"/>
      <c r="J338" s="201"/>
      <c r="K338" s="386"/>
      <c r="L338" s="386"/>
      <c r="M338" s="388"/>
      <c r="N338" s="37"/>
      <c r="O338" s="389"/>
      <c r="P338" s="94"/>
      <c r="Q338" s="131"/>
      <c r="R338" s="165"/>
      <c r="S338" s="132"/>
      <c r="T338" s="201"/>
      <c r="U338" s="201"/>
      <c r="V338" s="95"/>
      <c r="W338" s="96"/>
      <c r="X338" s="402"/>
      <c r="Z338" s="97"/>
      <c r="AA338" s="99"/>
    </row>
    <row r="339" spans="1:27" s="98" customFormat="1" hidden="1">
      <c r="A339" s="129"/>
      <c r="B339" s="94"/>
      <c r="C339" s="94"/>
      <c r="D339" s="184"/>
      <c r="E339" s="94"/>
      <c r="F339" s="94"/>
      <c r="G339" s="385"/>
      <c r="H339" s="386"/>
      <c r="I339" s="201"/>
      <c r="J339" s="201"/>
      <c r="K339" s="386"/>
      <c r="L339" s="386"/>
      <c r="M339" s="388"/>
      <c r="N339" s="37"/>
      <c r="O339" s="389"/>
      <c r="P339" s="94"/>
      <c r="Q339" s="131"/>
      <c r="R339" s="165"/>
      <c r="S339" s="132"/>
      <c r="T339" s="201"/>
      <c r="U339" s="201"/>
      <c r="V339" s="95"/>
      <c r="W339" s="96"/>
      <c r="X339" s="402"/>
      <c r="Z339" s="97"/>
      <c r="AA339" s="99"/>
    </row>
    <row r="340" spans="1:27" s="98" customFormat="1" hidden="1">
      <c r="A340" s="129"/>
      <c r="B340" s="94"/>
      <c r="C340" s="94"/>
      <c r="D340" s="184"/>
      <c r="E340" s="94"/>
      <c r="F340" s="94"/>
      <c r="G340" s="385"/>
      <c r="H340" s="386"/>
      <c r="I340" s="201"/>
      <c r="J340" s="201"/>
      <c r="K340" s="386"/>
      <c r="L340" s="386"/>
      <c r="M340" s="388"/>
      <c r="N340" s="37"/>
      <c r="O340" s="389"/>
      <c r="P340" s="94"/>
      <c r="Q340" s="131"/>
      <c r="R340" s="165"/>
      <c r="S340" s="132"/>
      <c r="T340" s="201"/>
      <c r="U340" s="201"/>
      <c r="V340" s="95"/>
      <c r="W340" s="96"/>
      <c r="X340" s="402"/>
      <c r="Z340" s="97"/>
      <c r="AA340" s="99"/>
    </row>
    <row r="341" spans="1:27" s="98" customFormat="1" hidden="1">
      <c r="A341" s="129"/>
      <c r="B341" s="94"/>
      <c r="C341" s="94"/>
      <c r="D341" s="184"/>
      <c r="E341" s="94"/>
      <c r="F341" s="94"/>
      <c r="G341" s="385"/>
      <c r="H341" s="386"/>
      <c r="I341" s="201"/>
      <c r="J341" s="201"/>
      <c r="K341" s="386"/>
      <c r="L341" s="386"/>
      <c r="M341" s="388"/>
      <c r="N341" s="37"/>
      <c r="O341" s="389"/>
      <c r="P341" s="94"/>
      <c r="Q341" s="131"/>
      <c r="R341" s="165"/>
      <c r="S341" s="132"/>
      <c r="T341" s="201"/>
      <c r="U341" s="201"/>
      <c r="V341" s="95"/>
      <c r="W341" s="96"/>
      <c r="X341" s="402"/>
      <c r="Z341" s="97"/>
      <c r="AA341" s="99"/>
    </row>
    <row r="342" spans="1:27" s="98" customFormat="1" hidden="1">
      <c r="A342" s="129"/>
      <c r="B342" s="94"/>
      <c r="C342" s="94"/>
      <c r="D342" s="184"/>
      <c r="E342" s="94"/>
      <c r="F342" s="94"/>
      <c r="G342" s="385"/>
      <c r="H342" s="386"/>
      <c r="I342" s="201"/>
      <c r="J342" s="201"/>
      <c r="K342" s="386"/>
      <c r="L342" s="386"/>
      <c r="M342" s="388"/>
      <c r="N342" s="37"/>
      <c r="O342" s="389"/>
      <c r="P342" s="94"/>
      <c r="Q342" s="131"/>
      <c r="R342" s="165"/>
      <c r="S342" s="132"/>
      <c r="T342" s="201"/>
      <c r="U342" s="201"/>
      <c r="V342" s="95"/>
      <c r="W342" s="96"/>
      <c r="X342" s="402"/>
      <c r="Z342" s="97"/>
      <c r="AA342" s="99"/>
    </row>
    <row r="343" spans="1:27" s="98" customFormat="1" hidden="1">
      <c r="A343" s="129"/>
      <c r="B343" s="94"/>
      <c r="C343" s="94"/>
      <c r="D343" s="184"/>
      <c r="E343" s="94"/>
      <c r="F343" s="94"/>
      <c r="G343" s="385"/>
      <c r="H343" s="386"/>
      <c r="I343" s="201"/>
      <c r="J343" s="201"/>
      <c r="K343" s="386"/>
      <c r="L343" s="386"/>
      <c r="M343" s="388"/>
      <c r="N343" s="37"/>
      <c r="O343" s="389"/>
      <c r="P343" s="94"/>
      <c r="Q343" s="131"/>
      <c r="R343" s="165"/>
      <c r="S343" s="132"/>
      <c r="T343" s="201"/>
      <c r="U343" s="201"/>
      <c r="V343" s="95"/>
      <c r="W343" s="96"/>
      <c r="X343" s="402"/>
      <c r="Z343" s="97"/>
      <c r="AA343" s="99"/>
    </row>
    <row r="344" spans="1:27" s="98" customFormat="1" hidden="1">
      <c r="A344" s="129"/>
      <c r="B344" s="94"/>
      <c r="C344" s="94"/>
      <c r="D344" s="184"/>
      <c r="E344" s="94"/>
      <c r="F344" s="94"/>
      <c r="G344" s="385"/>
      <c r="H344" s="386"/>
      <c r="I344" s="201"/>
      <c r="J344" s="201"/>
      <c r="K344" s="386"/>
      <c r="L344" s="386"/>
      <c r="M344" s="388"/>
      <c r="N344" s="37"/>
      <c r="O344" s="389"/>
      <c r="P344" s="94"/>
      <c r="Q344" s="131"/>
      <c r="R344" s="165"/>
      <c r="S344" s="132"/>
      <c r="T344" s="201"/>
      <c r="U344" s="201"/>
      <c r="V344" s="95"/>
      <c r="W344" s="96"/>
      <c r="X344" s="402"/>
      <c r="Z344" s="97"/>
      <c r="AA344" s="99"/>
    </row>
    <row r="345" spans="1:27" s="98" customFormat="1" hidden="1">
      <c r="A345" s="129"/>
      <c r="B345" s="94"/>
      <c r="C345" s="94"/>
      <c r="D345" s="184"/>
      <c r="E345" s="94"/>
      <c r="F345" s="94"/>
      <c r="G345" s="385"/>
      <c r="H345" s="386"/>
      <c r="I345" s="201"/>
      <c r="J345" s="201"/>
      <c r="K345" s="386"/>
      <c r="L345" s="386"/>
      <c r="M345" s="388"/>
      <c r="N345" s="37"/>
      <c r="O345" s="389"/>
      <c r="P345" s="94"/>
      <c r="Q345" s="131"/>
      <c r="R345" s="165"/>
      <c r="S345" s="132"/>
      <c r="T345" s="201"/>
      <c r="U345" s="201"/>
      <c r="V345" s="95"/>
      <c r="W345" s="96"/>
      <c r="X345" s="223"/>
      <c r="Z345" s="97"/>
      <c r="AA345" s="99"/>
    </row>
    <row r="346" spans="1:27" s="98" customFormat="1" hidden="1">
      <c r="A346" s="129"/>
      <c r="B346" s="94"/>
      <c r="C346" s="94"/>
      <c r="D346" s="184"/>
      <c r="E346" s="94"/>
      <c r="F346" s="94"/>
      <c r="G346" s="385"/>
      <c r="H346" s="386"/>
      <c r="I346" s="201"/>
      <c r="J346" s="201"/>
      <c r="K346" s="386"/>
      <c r="L346" s="386"/>
      <c r="M346" s="388"/>
      <c r="N346" s="37"/>
      <c r="O346" s="389"/>
      <c r="P346" s="94"/>
      <c r="Q346" s="131"/>
      <c r="R346" s="165"/>
      <c r="S346" s="132"/>
      <c r="T346" s="201"/>
      <c r="U346" s="201"/>
      <c r="V346" s="95"/>
      <c r="W346" s="96"/>
      <c r="X346" s="223"/>
      <c r="Z346" s="97"/>
      <c r="AA346" s="99"/>
    </row>
    <row r="347" spans="1:27" s="98" customFormat="1" hidden="1">
      <c r="A347" s="129"/>
      <c r="B347" s="94"/>
      <c r="C347" s="94"/>
      <c r="D347" s="184"/>
      <c r="E347" s="94"/>
      <c r="F347" s="94"/>
      <c r="G347" s="385"/>
      <c r="H347" s="386"/>
      <c r="I347" s="201"/>
      <c r="J347" s="201"/>
      <c r="K347" s="386"/>
      <c r="L347" s="386"/>
      <c r="M347" s="388"/>
      <c r="N347" s="37"/>
      <c r="O347" s="389"/>
      <c r="P347" s="94"/>
      <c r="Q347" s="131"/>
      <c r="R347" s="165"/>
      <c r="S347" s="132"/>
      <c r="T347" s="201"/>
      <c r="U347" s="201"/>
      <c r="V347" s="95"/>
      <c r="W347" s="96"/>
      <c r="X347" s="223"/>
      <c r="Z347" s="97"/>
      <c r="AA347" s="99"/>
    </row>
    <row r="348" spans="1:27" s="98" customFormat="1" hidden="1">
      <c r="A348" s="129"/>
      <c r="B348" s="94"/>
      <c r="C348" s="94"/>
      <c r="D348" s="184"/>
      <c r="E348" s="94"/>
      <c r="F348" s="94"/>
      <c r="G348" s="385"/>
      <c r="H348" s="386"/>
      <c r="I348" s="201"/>
      <c r="J348" s="201"/>
      <c r="K348" s="386"/>
      <c r="L348" s="386"/>
      <c r="M348" s="388"/>
      <c r="N348" s="37"/>
      <c r="O348" s="389"/>
      <c r="P348" s="94"/>
      <c r="Q348" s="131"/>
      <c r="R348" s="165"/>
      <c r="S348" s="132"/>
      <c r="T348" s="201"/>
      <c r="U348" s="201"/>
      <c r="V348" s="95"/>
      <c r="W348" s="96"/>
      <c r="X348" s="223"/>
      <c r="Z348" s="97"/>
      <c r="AA348" s="99"/>
    </row>
    <row r="349" spans="1:27" s="98" customFormat="1">
      <c r="A349" s="129"/>
      <c r="B349" s="94"/>
      <c r="C349" s="94"/>
      <c r="D349" s="184"/>
      <c r="E349" s="94"/>
      <c r="F349" s="94"/>
      <c r="G349" s="385"/>
      <c r="H349" s="386"/>
      <c r="I349" s="201"/>
      <c r="J349" s="201"/>
      <c r="K349" s="386"/>
      <c r="L349" s="386"/>
      <c r="M349" s="388"/>
      <c r="N349" s="37"/>
      <c r="O349" s="389"/>
      <c r="P349" s="94"/>
      <c r="Q349" s="131"/>
      <c r="R349" s="165"/>
      <c r="S349" s="132"/>
      <c r="T349" s="131"/>
      <c r="U349" s="131"/>
      <c r="V349" s="95"/>
      <c r="W349" s="96"/>
      <c r="X349" s="223"/>
      <c r="Z349" s="97"/>
      <c r="AA349" s="99"/>
    </row>
    <row r="350" spans="1:27" s="98" customFormat="1">
      <c r="A350" s="129"/>
      <c r="B350" s="94"/>
      <c r="C350" s="94"/>
      <c r="D350" s="184"/>
      <c r="E350" s="94"/>
      <c r="F350" s="94"/>
      <c r="G350" s="385"/>
      <c r="H350" s="386"/>
      <c r="I350" s="201"/>
      <c r="J350" s="201"/>
      <c r="K350" s="386"/>
      <c r="L350" s="386"/>
      <c r="M350" s="388"/>
      <c r="N350" s="37"/>
      <c r="O350" s="389"/>
      <c r="P350" s="94"/>
      <c r="Q350" s="131"/>
      <c r="R350" s="165"/>
      <c r="S350" s="132"/>
      <c r="T350" s="131"/>
      <c r="U350" s="131"/>
      <c r="V350" s="95"/>
      <c r="W350" s="96"/>
      <c r="X350" s="223"/>
      <c r="Z350" s="97"/>
      <c r="AA350" s="99"/>
    </row>
    <row r="351" spans="1:27" s="98" customFormat="1">
      <c r="A351" s="129"/>
      <c r="B351" s="94"/>
      <c r="C351" s="94"/>
      <c r="D351" s="184"/>
      <c r="E351" s="94"/>
      <c r="F351" s="94"/>
      <c r="G351" s="385"/>
      <c r="H351" s="386"/>
      <c r="I351" s="201"/>
      <c r="J351" s="201"/>
      <c r="K351" s="386"/>
      <c r="L351" s="386"/>
      <c r="M351" s="388"/>
      <c r="N351" s="37"/>
      <c r="O351" s="389"/>
      <c r="P351" s="94"/>
      <c r="Q351" s="131"/>
      <c r="R351" s="165"/>
      <c r="S351" s="132"/>
      <c r="T351" s="131"/>
      <c r="U351" s="131"/>
      <c r="V351" s="95"/>
      <c r="W351" s="96"/>
      <c r="X351" s="223"/>
      <c r="Z351" s="97"/>
      <c r="AA351" s="99"/>
    </row>
    <row r="352" spans="1:27" s="98" customFormat="1" hidden="1">
      <c r="A352" s="129"/>
      <c r="B352" s="94"/>
      <c r="C352" s="94"/>
      <c r="D352" s="184"/>
      <c r="E352" s="94"/>
      <c r="F352" s="94"/>
      <c r="G352" s="385"/>
      <c r="H352" s="386"/>
      <c r="I352" s="201"/>
      <c r="J352" s="201"/>
      <c r="K352" s="386"/>
      <c r="L352" s="386"/>
      <c r="M352" s="388"/>
      <c r="N352" s="37"/>
      <c r="O352" s="389"/>
      <c r="P352" s="94"/>
      <c r="Q352" s="131"/>
      <c r="R352" s="165"/>
      <c r="S352" s="132"/>
      <c r="T352" s="131"/>
      <c r="U352" s="131"/>
      <c r="V352" s="95"/>
      <c r="W352" s="96"/>
      <c r="X352" s="223"/>
      <c r="Z352" s="97"/>
      <c r="AA352" s="99"/>
    </row>
    <row r="353" spans="1:27" s="98" customFormat="1" hidden="1">
      <c r="A353" s="129"/>
      <c r="B353" s="94"/>
      <c r="C353" s="94"/>
      <c r="D353" s="184"/>
      <c r="E353" s="94"/>
      <c r="F353" s="94"/>
      <c r="G353" s="385"/>
      <c r="H353" s="386"/>
      <c r="I353" s="201"/>
      <c r="J353" s="201"/>
      <c r="K353" s="386"/>
      <c r="L353" s="386"/>
      <c r="M353" s="388"/>
      <c r="N353" s="37"/>
      <c r="O353" s="389"/>
      <c r="P353" s="94"/>
      <c r="Q353" s="131"/>
      <c r="R353" s="165"/>
      <c r="S353" s="132"/>
      <c r="T353" s="201"/>
      <c r="U353" s="201"/>
      <c r="V353" s="95"/>
      <c r="W353" s="96"/>
      <c r="X353" s="223"/>
      <c r="Z353" s="97"/>
      <c r="AA353" s="99"/>
    </row>
    <row r="354" spans="1:27" s="98" customFormat="1" hidden="1">
      <c r="A354" s="129"/>
      <c r="B354" s="94"/>
      <c r="C354" s="94"/>
      <c r="D354" s="184"/>
      <c r="E354" s="94"/>
      <c r="F354" s="94"/>
      <c r="G354" s="385"/>
      <c r="H354" s="386"/>
      <c r="I354" s="201"/>
      <c r="J354" s="201"/>
      <c r="K354" s="386"/>
      <c r="L354" s="386"/>
      <c r="M354" s="388"/>
      <c r="N354" s="37"/>
      <c r="O354" s="389"/>
      <c r="P354" s="94"/>
      <c r="Q354" s="131"/>
      <c r="R354" s="165"/>
      <c r="S354" s="132"/>
      <c r="T354" s="201"/>
      <c r="U354" s="201"/>
      <c r="V354" s="95"/>
      <c r="W354" s="96"/>
      <c r="X354" s="223"/>
      <c r="Z354" s="97"/>
      <c r="AA354" s="99"/>
    </row>
    <row r="355" spans="1:27" s="98" customFormat="1" hidden="1">
      <c r="A355" s="129"/>
      <c r="B355" s="94"/>
      <c r="C355" s="94"/>
      <c r="D355" s="184"/>
      <c r="E355" s="94"/>
      <c r="F355" s="94"/>
      <c r="G355" s="385"/>
      <c r="H355" s="386"/>
      <c r="I355" s="201"/>
      <c r="J355" s="201"/>
      <c r="K355" s="386"/>
      <c r="L355" s="386"/>
      <c r="M355" s="388"/>
      <c r="N355" s="37"/>
      <c r="O355" s="389"/>
      <c r="P355" s="94"/>
      <c r="Q355" s="131"/>
      <c r="R355" s="165"/>
      <c r="S355" s="132"/>
      <c r="T355" s="201"/>
      <c r="U355" s="201"/>
      <c r="V355" s="95"/>
      <c r="W355" s="96"/>
      <c r="X355" s="223"/>
      <c r="Z355" s="97"/>
      <c r="AA355" s="99"/>
    </row>
    <row r="356" spans="1:27" s="98" customFormat="1" hidden="1">
      <c r="A356" s="129"/>
      <c r="B356" s="94"/>
      <c r="C356" s="94"/>
      <c r="D356" s="184"/>
      <c r="E356" s="94"/>
      <c r="F356" s="94"/>
      <c r="G356" s="385"/>
      <c r="H356" s="386"/>
      <c r="I356" s="201"/>
      <c r="J356" s="201"/>
      <c r="K356" s="386"/>
      <c r="L356" s="201"/>
      <c r="M356" s="388"/>
      <c r="N356" s="37"/>
      <c r="O356" s="389"/>
      <c r="P356" s="94"/>
      <c r="Q356" s="131"/>
      <c r="R356" s="165"/>
      <c r="S356" s="132"/>
      <c r="T356" s="201"/>
      <c r="U356" s="201"/>
      <c r="V356" s="95"/>
      <c r="W356" s="96"/>
      <c r="X356" s="223"/>
      <c r="Z356" s="97"/>
      <c r="AA356" s="99"/>
    </row>
    <row r="357" spans="1:27" s="98" customFormat="1" hidden="1">
      <c r="A357" s="129"/>
      <c r="B357" s="94"/>
      <c r="C357" s="94"/>
      <c r="D357" s="184"/>
      <c r="E357" s="94"/>
      <c r="F357" s="94"/>
      <c r="G357" s="385"/>
      <c r="H357" s="386"/>
      <c r="I357" s="201"/>
      <c r="J357" s="201"/>
      <c r="K357" s="386"/>
      <c r="L357" s="201"/>
      <c r="M357" s="388"/>
      <c r="N357" s="37"/>
      <c r="O357" s="389"/>
      <c r="P357" s="94"/>
      <c r="Q357" s="131"/>
      <c r="R357" s="165"/>
      <c r="S357" s="132"/>
      <c r="T357" s="201"/>
      <c r="U357" s="201"/>
      <c r="V357" s="95"/>
      <c r="W357" s="96"/>
      <c r="X357" s="223"/>
      <c r="Z357" s="97"/>
      <c r="AA357" s="99"/>
    </row>
    <row r="358" spans="1:27" s="98" customFormat="1" hidden="1">
      <c r="A358" s="129"/>
      <c r="B358" s="94"/>
      <c r="C358" s="94"/>
      <c r="D358" s="184"/>
      <c r="E358" s="94"/>
      <c r="F358" s="94"/>
      <c r="G358" s="385"/>
      <c r="H358" s="386"/>
      <c r="I358" s="201"/>
      <c r="J358" s="201"/>
      <c r="K358" s="386"/>
      <c r="L358" s="201"/>
      <c r="M358" s="388"/>
      <c r="N358" s="37"/>
      <c r="O358" s="389"/>
      <c r="P358" s="94"/>
      <c r="Q358" s="131"/>
      <c r="R358" s="165"/>
      <c r="S358" s="132"/>
      <c r="T358" s="201"/>
      <c r="U358" s="201"/>
      <c r="V358" s="95"/>
      <c r="W358" s="96"/>
      <c r="X358" s="223"/>
      <c r="Z358" s="97"/>
      <c r="AA358" s="99"/>
    </row>
    <row r="359" spans="1:27" s="98" customFormat="1" hidden="1">
      <c r="A359" s="129"/>
      <c r="B359" s="94"/>
      <c r="C359" s="94"/>
      <c r="D359" s="184"/>
      <c r="E359" s="94"/>
      <c r="F359" s="94"/>
      <c r="G359" s="385"/>
      <c r="H359" s="386"/>
      <c r="I359" s="201"/>
      <c r="J359" s="201"/>
      <c r="K359" s="386"/>
      <c r="L359" s="201"/>
      <c r="M359" s="388"/>
      <c r="N359" s="37"/>
      <c r="O359" s="389"/>
      <c r="P359" s="94"/>
      <c r="Q359" s="131"/>
      <c r="R359" s="165"/>
      <c r="S359" s="132"/>
      <c r="T359" s="201"/>
      <c r="U359" s="201"/>
      <c r="V359" s="95"/>
      <c r="W359" s="96"/>
      <c r="X359" s="223"/>
      <c r="Z359" s="97"/>
      <c r="AA359" s="99"/>
    </row>
    <row r="360" spans="1:27" s="98" customFormat="1" hidden="1">
      <c r="A360" s="129"/>
      <c r="B360" s="94"/>
      <c r="C360" s="94"/>
      <c r="D360" s="184"/>
      <c r="E360" s="94"/>
      <c r="F360" s="94"/>
      <c r="G360" s="385"/>
      <c r="H360" s="386"/>
      <c r="I360" s="201"/>
      <c r="J360" s="201"/>
      <c r="K360" s="386"/>
      <c r="L360" s="201"/>
      <c r="M360" s="388"/>
      <c r="N360" s="37"/>
      <c r="O360" s="389"/>
      <c r="P360" s="94"/>
      <c r="Q360" s="131"/>
      <c r="R360" s="165"/>
      <c r="S360" s="132"/>
      <c r="T360" s="201"/>
      <c r="U360" s="201"/>
      <c r="V360" s="95"/>
      <c r="W360" s="96"/>
      <c r="X360" s="223"/>
      <c r="Z360" s="97"/>
      <c r="AA360" s="99"/>
    </row>
    <row r="361" spans="1:27" s="98" customFormat="1" hidden="1">
      <c r="A361" s="129"/>
      <c r="B361" s="94"/>
      <c r="C361" s="94"/>
      <c r="D361" s="184"/>
      <c r="E361" s="94"/>
      <c r="F361" s="94"/>
      <c r="G361" s="385"/>
      <c r="H361" s="386"/>
      <c r="I361" s="201"/>
      <c r="J361" s="201"/>
      <c r="K361" s="386"/>
      <c r="L361" s="201"/>
      <c r="M361" s="388"/>
      <c r="N361" s="37"/>
      <c r="O361" s="389"/>
      <c r="P361" s="94"/>
      <c r="Q361" s="131"/>
      <c r="R361" s="165"/>
      <c r="S361" s="132"/>
      <c r="T361" s="201"/>
      <c r="U361" s="201"/>
      <c r="V361" s="95"/>
      <c r="W361" s="96"/>
      <c r="X361" s="223"/>
      <c r="Z361" s="97"/>
      <c r="AA361" s="99"/>
    </row>
    <row r="362" spans="1:27" s="98" customFormat="1" hidden="1">
      <c r="A362" s="129"/>
      <c r="B362" s="94"/>
      <c r="C362" s="94"/>
      <c r="D362" s="184"/>
      <c r="E362" s="94"/>
      <c r="F362" s="94"/>
      <c r="G362" s="385"/>
      <c r="H362" s="386"/>
      <c r="I362" s="201"/>
      <c r="J362" s="201"/>
      <c r="K362" s="386"/>
      <c r="L362" s="201"/>
      <c r="M362" s="388"/>
      <c r="N362" s="37"/>
      <c r="O362" s="389"/>
      <c r="P362" s="94"/>
      <c r="Q362" s="131"/>
      <c r="R362" s="165"/>
      <c r="S362" s="132"/>
      <c r="T362" s="201"/>
      <c r="U362" s="201"/>
      <c r="V362" s="95"/>
      <c r="W362" s="96"/>
      <c r="X362" s="223"/>
      <c r="Z362" s="97"/>
      <c r="AA362" s="99"/>
    </row>
    <row r="363" spans="1:27" s="98" customFormat="1" hidden="1">
      <c r="A363" s="129"/>
      <c r="B363" s="94"/>
      <c r="C363" s="94"/>
      <c r="D363" s="184"/>
      <c r="E363" s="94"/>
      <c r="F363" s="94"/>
      <c r="G363" s="385"/>
      <c r="H363" s="386"/>
      <c r="I363" s="201"/>
      <c r="J363" s="201"/>
      <c r="K363" s="386"/>
      <c r="L363" s="201"/>
      <c r="M363" s="388"/>
      <c r="N363" s="37"/>
      <c r="O363" s="389"/>
      <c r="P363" s="94"/>
      <c r="Q363" s="131"/>
      <c r="R363" s="165"/>
      <c r="S363" s="132"/>
      <c r="T363" s="201"/>
      <c r="U363" s="201"/>
      <c r="V363" s="95"/>
      <c r="W363" s="96"/>
      <c r="X363" s="223"/>
      <c r="Z363" s="97"/>
      <c r="AA363" s="99"/>
    </row>
    <row r="364" spans="1:27" s="98" customFormat="1" hidden="1">
      <c r="A364" s="129"/>
      <c r="B364" s="94"/>
      <c r="C364" s="94"/>
      <c r="D364" s="184"/>
      <c r="E364" s="94"/>
      <c r="F364" s="94"/>
      <c r="G364" s="385"/>
      <c r="H364" s="386"/>
      <c r="I364" s="201"/>
      <c r="J364" s="201"/>
      <c r="K364" s="386"/>
      <c r="L364" s="201"/>
      <c r="M364" s="388"/>
      <c r="N364" s="37"/>
      <c r="O364" s="389"/>
      <c r="P364" s="94"/>
      <c r="Q364" s="131"/>
      <c r="R364" s="165"/>
      <c r="S364" s="132"/>
      <c r="T364" s="201"/>
      <c r="U364" s="201"/>
      <c r="V364" s="95"/>
      <c r="W364" s="96"/>
      <c r="X364" s="223"/>
      <c r="Z364" s="97"/>
      <c r="AA364" s="99"/>
    </row>
    <row r="365" spans="1:27" s="98" customFormat="1" hidden="1">
      <c r="A365" s="129"/>
      <c r="B365" s="94"/>
      <c r="C365" s="94"/>
      <c r="D365" s="184"/>
      <c r="E365" s="94"/>
      <c r="F365" s="94"/>
      <c r="G365" s="385"/>
      <c r="H365" s="386"/>
      <c r="I365" s="201"/>
      <c r="J365" s="201"/>
      <c r="K365" s="386"/>
      <c r="L365" s="201"/>
      <c r="M365" s="388"/>
      <c r="N365" s="37"/>
      <c r="O365" s="389"/>
      <c r="P365" s="94"/>
      <c r="Q365" s="131"/>
      <c r="R365" s="165"/>
      <c r="S365" s="132"/>
      <c r="T365" s="201"/>
      <c r="U365" s="201"/>
      <c r="V365" s="95"/>
      <c r="W365" s="96"/>
      <c r="X365" s="223"/>
      <c r="Z365" s="97"/>
      <c r="AA365" s="99"/>
    </row>
    <row r="366" spans="1:27" s="98" customFormat="1" hidden="1">
      <c r="A366" s="129"/>
      <c r="B366" s="94"/>
      <c r="C366" s="94"/>
      <c r="D366" s="184"/>
      <c r="E366" s="94"/>
      <c r="F366" s="94"/>
      <c r="G366" s="385"/>
      <c r="H366" s="386"/>
      <c r="I366" s="201"/>
      <c r="J366" s="201"/>
      <c r="K366" s="386"/>
      <c r="L366" s="201"/>
      <c r="M366" s="388"/>
      <c r="N366" s="37"/>
      <c r="O366" s="389"/>
      <c r="P366" s="94"/>
      <c r="Q366" s="131"/>
      <c r="R366" s="165"/>
      <c r="S366" s="132"/>
      <c r="T366" s="201"/>
      <c r="U366" s="201"/>
      <c r="V366" s="95"/>
      <c r="W366" s="96"/>
      <c r="X366" s="223"/>
      <c r="Z366" s="97"/>
      <c r="AA366" s="99"/>
    </row>
    <row r="367" spans="1:27" s="98" customFormat="1" hidden="1">
      <c r="A367" s="129"/>
      <c r="B367" s="94"/>
      <c r="C367" s="94"/>
      <c r="D367" s="184"/>
      <c r="E367" s="94"/>
      <c r="F367" s="94"/>
      <c r="G367" s="385"/>
      <c r="H367" s="386"/>
      <c r="I367" s="201"/>
      <c r="J367" s="201"/>
      <c r="K367" s="386"/>
      <c r="L367" s="201"/>
      <c r="M367" s="388"/>
      <c r="N367" s="37"/>
      <c r="O367" s="389"/>
      <c r="P367" s="94"/>
      <c r="Q367" s="131"/>
      <c r="R367" s="165"/>
      <c r="S367" s="132"/>
      <c r="T367" s="201"/>
      <c r="U367" s="201"/>
      <c r="V367" s="95"/>
      <c r="W367" s="96"/>
      <c r="X367" s="223"/>
      <c r="Z367" s="97"/>
      <c r="AA367" s="99"/>
    </row>
    <row r="368" spans="1:27" s="98" customFormat="1" hidden="1">
      <c r="A368" s="129"/>
      <c r="B368" s="94"/>
      <c r="C368" s="94"/>
      <c r="D368" s="184"/>
      <c r="E368" s="94"/>
      <c r="F368" s="94"/>
      <c r="G368" s="385"/>
      <c r="H368" s="386"/>
      <c r="I368" s="201"/>
      <c r="J368" s="201"/>
      <c r="K368" s="386"/>
      <c r="L368" s="386"/>
      <c r="M368" s="388"/>
      <c r="N368" s="37"/>
      <c r="O368" s="389"/>
      <c r="P368" s="94"/>
      <c r="Q368" s="131"/>
      <c r="R368" s="165"/>
      <c r="S368" s="132"/>
      <c r="T368" s="201"/>
      <c r="U368" s="201"/>
      <c r="V368" s="95"/>
      <c r="W368" s="96"/>
      <c r="X368" s="223"/>
      <c r="Z368" s="97"/>
      <c r="AA368" s="99"/>
    </row>
    <row r="369" spans="1:27" s="98" customFormat="1" hidden="1">
      <c r="A369" s="129"/>
      <c r="B369" s="94"/>
      <c r="C369" s="94"/>
      <c r="D369" s="184"/>
      <c r="E369" s="94"/>
      <c r="F369" s="94"/>
      <c r="G369" s="385"/>
      <c r="H369" s="386"/>
      <c r="I369" s="201"/>
      <c r="J369" s="201"/>
      <c r="K369" s="386"/>
      <c r="L369" s="386"/>
      <c r="M369" s="388"/>
      <c r="N369" s="37"/>
      <c r="O369" s="389"/>
      <c r="P369" s="94"/>
      <c r="Q369" s="131"/>
      <c r="R369" s="165"/>
      <c r="S369" s="132"/>
      <c r="T369" s="201"/>
      <c r="U369" s="201"/>
      <c r="V369" s="95"/>
      <c r="W369" s="96"/>
      <c r="X369" s="223"/>
      <c r="Z369" s="97"/>
      <c r="AA369" s="99"/>
    </row>
    <row r="370" spans="1:27" s="98" customFormat="1" hidden="1">
      <c r="A370" s="129"/>
      <c r="B370" s="94"/>
      <c r="C370" s="94"/>
      <c r="D370" s="184"/>
      <c r="E370" s="94"/>
      <c r="F370" s="94"/>
      <c r="G370" s="385"/>
      <c r="H370" s="386"/>
      <c r="I370" s="201"/>
      <c r="J370" s="201"/>
      <c r="K370" s="386"/>
      <c r="L370" s="386"/>
      <c r="M370" s="388"/>
      <c r="N370" s="37"/>
      <c r="O370" s="389"/>
      <c r="P370" s="94"/>
      <c r="Q370" s="131"/>
      <c r="R370" s="165"/>
      <c r="S370" s="132"/>
      <c r="T370" s="201"/>
      <c r="U370" s="201"/>
      <c r="V370" s="95"/>
      <c r="W370" s="96"/>
      <c r="X370" s="223"/>
      <c r="Z370" s="97"/>
      <c r="AA370" s="99"/>
    </row>
    <row r="371" spans="1:27" s="98" customFormat="1" hidden="1">
      <c r="A371" s="129"/>
      <c r="B371" s="94"/>
      <c r="C371" s="94"/>
      <c r="D371" s="184"/>
      <c r="E371" s="94"/>
      <c r="F371" s="94"/>
      <c r="G371" s="385"/>
      <c r="H371" s="386"/>
      <c r="I371" s="201"/>
      <c r="J371" s="201"/>
      <c r="K371" s="386"/>
      <c r="L371" s="386"/>
      <c r="M371" s="388"/>
      <c r="N371" s="37"/>
      <c r="O371" s="389"/>
      <c r="P371" s="94"/>
      <c r="Q371" s="131"/>
      <c r="R371" s="165"/>
      <c r="S371" s="132"/>
      <c r="T371" s="201"/>
      <c r="U371" s="201"/>
      <c r="V371" s="95"/>
      <c r="W371" s="96"/>
      <c r="X371" s="223"/>
      <c r="Z371" s="97"/>
      <c r="AA371" s="99"/>
    </row>
    <row r="372" spans="1:27" s="98" customFormat="1" hidden="1">
      <c r="A372" s="129"/>
      <c r="B372" s="94"/>
      <c r="C372" s="94"/>
      <c r="D372" s="184"/>
      <c r="E372" s="94"/>
      <c r="F372" s="94"/>
      <c r="G372" s="385"/>
      <c r="H372" s="386"/>
      <c r="I372" s="201"/>
      <c r="J372" s="201"/>
      <c r="K372" s="386"/>
      <c r="L372" s="386"/>
      <c r="M372" s="388"/>
      <c r="N372" s="37"/>
      <c r="O372" s="389"/>
      <c r="P372" s="94"/>
      <c r="Q372" s="131"/>
      <c r="R372" s="165"/>
      <c r="S372" s="132"/>
      <c r="T372" s="201"/>
      <c r="U372" s="201"/>
      <c r="V372" s="95"/>
      <c r="W372" s="96"/>
      <c r="X372" s="223"/>
      <c r="Z372" s="97"/>
      <c r="AA372" s="99"/>
    </row>
    <row r="373" spans="1:27" s="98" customFormat="1" hidden="1">
      <c r="A373" s="129"/>
      <c r="B373" s="94"/>
      <c r="C373" s="94"/>
      <c r="D373" s="184"/>
      <c r="E373" s="94"/>
      <c r="F373" s="94"/>
      <c r="G373" s="385"/>
      <c r="H373" s="386"/>
      <c r="I373" s="201"/>
      <c r="J373" s="201"/>
      <c r="K373" s="386"/>
      <c r="L373" s="386"/>
      <c r="M373" s="388"/>
      <c r="N373" s="37"/>
      <c r="O373" s="389"/>
      <c r="P373" s="94"/>
      <c r="Q373" s="131"/>
      <c r="R373" s="165"/>
      <c r="S373" s="132"/>
      <c r="T373" s="201"/>
      <c r="U373" s="201"/>
      <c r="V373" s="95"/>
      <c r="W373" s="96"/>
      <c r="X373" s="223"/>
      <c r="Z373" s="97"/>
      <c r="AA373" s="99"/>
    </row>
    <row r="374" spans="1:27" s="98" customFormat="1" hidden="1">
      <c r="A374" s="129"/>
      <c r="B374" s="94"/>
      <c r="C374" s="94"/>
      <c r="D374" s="184"/>
      <c r="E374" s="94"/>
      <c r="F374" s="94"/>
      <c r="G374" s="385"/>
      <c r="H374" s="386"/>
      <c r="I374" s="201"/>
      <c r="J374" s="201"/>
      <c r="K374" s="386"/>
      <c r="L374" s="386"/>
      <c r="M374" s="388"/>
      <c r="N374" s="37"/>
      <c r="O374" s="389"/>
      <c r="P374" s="94"/>
      <c r="Q374" s="131"/>
      <c r="R374" s="165"/>
      <c r="S374" s="132"/>
      <c r="T374" s="201"/>
      <c r="U374" s="201"/>
      <c r="V374" s="95"/>
      <c r="W374" s="96"/>
      <c r="X374" s="223"/>
      <c r="Z374" s="97"/>
      <c r="AA374" s="99"/>
    </row>
    <row r="375" spans="1:27" s="98" customFormat="1" hidden="1">
      <c r="A375" s="129"/>
      <c r="B375" s="94"/>
      <c r="C375" s="94"/>
      <c r="D375" s="184"/>
      <c r="E375" s="94"/>
      <c r="F375" s="94"/>
      <c r="G375" s="385"/>
      <c r="H375" s="386"/>
      <c r="I375" s="201"/>
      <c r="J375" s="201"/>
      <c r="K375" s="386"/>
      <c r="L375" s="386"/>
      <c r="M375" s="388"/>
      <c r="N375" s="37"/>
      <c r="O375" s="389"/>
      <c r="P375" s="94"/>
      <c r="Q375" s="131"/>
      <c r="R375" s="165"/>
      <c r="S375" s="132"/>
      <c r="T375" s="201"/>
      <c r="U375" s="201"/>
      <c r="V375" s="95"/>
      <c r="W375" s="96"/>
      <c r="X375" s="223"/>
      <c r="Z375" s="97"/>
      <c r="AA375" s="99"/>
    </row>
    <row r="376" spans="1:27" s="98" customFormat="1" hidden="1">
      <c r="A376" s="129"/>
      <c r="B376" s="94"/>
      <c r="C376" s="94"/>
      <c r="D376" s="184"/>
      <c r="E376" s="94"/>
      <c r="F376" s="94"/>
      <c r="G376" s="385"/>
      <c r="H376" s="386"/>
      <c r="I376" s="201"/>
      <c r="J376" s="201"/>
      <c r="K376" s="386"/>
      <c r="L376" s="386"/>
      <c r="M376" s="388"/>
      <c r="N376" s="37"/>
      <c r="O376" s="389"/>
      <c r="P376" s="94"/>
      <c r="Q376" s="131"/>
      <c r="R376" s="165"/>
      <c r="S376" s="132"/>
      <c r="T376" s="201"/>
      <c r="U376" s="201"/>
      <c r="V376" s="95"/>
      <c r="W376" s="96"/>
      <c r="X376" s="223"/>
      <c r="Z376" s="97"/>
      <c r="AA376" s="99"/>
    </row>
    <row r="377" spans="1:27" s="98" customFormat="1" hidden="1">
      <c r="A377" s="129"/>
      <c r="B377" s="94"/>
      <c r="C377" s="94"/>
      <c r="D377" s="184"/>
      <c r="E377" s="94"/>
      <c r="F377" s="94"/>
      <c r="G377" s="385"/>
      <c r="H377" s="386"/>
      <c r="I377" s="201"/>
      <c r="J377" s="201"/>
      <c r="K377" s="386"/>
      <c r="L377" s="386"/>
      <c r="M377" s="388"/>
      <c r="N377" s="37"/>
      <c r="O377" s="389"/>
      <c r="P377" s="94"/>
      <c r="Q377" s="131"/>
      <c r="R377" s="165"/>
      <c r="S377" s="132"/>
      <c r="T377" s="201"/>
      <c r="U377" s="201"/>
      <c r="V377" s="95"/>
      <c r="W377" s="96"/>
      <c r="X377" s="223"/>
      <c r="Z377" s="97"/>
      <c r="AA377" s="99"/>
    </row>
    <row r="378" spans="1:27" s="98" customFormat="1" hidden="1">
      <c r="A378" s="129"/>
      <c r="B378" s="94"/>
      <c r="C378" s="94"/>
      <c r="D378" s="184"/>
      <c r="E378" s="94"/>
      <c r="F378" s="94"/>
      <c r="G378" s="385"/>
      <c r="H378" s="386"/>
      <c r="I378" s="201"/>
      <c r="J378" s="201"/>
      <c r="K378" s="386"/>
      <c r="L378" s="386"/>
      <c r="M378" s="388"/>
      <c r="N378" s="37"/>
      <c r="O378" s="389"/>
      <c r="P378" s="94"/>
      <c r="Q378" s="131"/>
      <c r="R378" s="165"/>
      <c r="S378" s="132"/>
      <c r="T378" s="201"/>
      <c r="U378" s="201"/>
      <c r="V378" s="95"/>
      <c r="W378" s="96"/>
      <c r="X378" s="223"/>
      <c r="Z378" s="97"/>
      <c r="AA378" s="99"/>
    </row>
    <row r="379" spans="1:27" s="98" customFormat="1" hidden="1">
      <c r="A379" s="129"/>
      <c r="B379" s="94"/>
      <c r="C379" s="94"/>
      <c r="D379" s="184"/>
      <c r="E379" s="94"/>
      <c r="F379" s="94"/>
      <c r="G379" s="385"/>
      <c r="H379" s="386"/>
      <c r="I379" s="201"/>
      <c r="J379" s="201"/>
      <c r="K379" s="386"/>
      <c r="L379" s="386"/>
      <c r="M379" s="388"/>
      <c r="N379" s="37"/>
      <c r="O379" s="389"/>
      <c r="P379" s="94"/>
      <c r="Q379" s="131"/>
      <c r="R379" s="165"/>
      <c r="S379" s="132"/>
      <c r="T379" s="201"/>
      <c r="U379" s="201"/>
      <c r="V379" s="95"/>
      <c r="W379" s="96"/>
      <c r="X379" s="223"/>
      <c r="Z379" s="97"/>
      <c r="AA379" s="99"/>
    </row>
    <row r="380" spans="1:27" hidden="1">
      <c r="A380" s="129"/>
      <c r="B380" s="94"/>
      <c r="C380" s="94"/>
      <c r="D380" s="184"/>
      <c r="E380" s="94"/>
      <c r="F380" s="94"/>
      <c r="G380" s="385"/>
      <c r="H380" s="386"/>
      <c r="I380" s="201"/>
      <c r="J380" s="201"/>
      <c r="K380" s="386"/>
      <c r="L380" s="386"/>
      <c r="M380" s="388"/>
      <c r="N380" s="37"/>
      <c r="O380" s="389"/>
      <c r="P380" s="94"/>
      <c r="Q380" s="131"/>
    </row>
    <row r="381" spans="1:27" hidden="1">
      <c r="A381" s="129"/>
      <c r="B381" s="94"/>
      <c r="C381" s="94"/>
      <c r="D381" s="184"/>
      <c r="E381" s="94"/>
      <c r="F381" s="94"/>
      <c r="G381" s="385"/>
      <c r="H381" s="386"/>
      <c r="I381" s="201"/>
      <c r="J381" s="201"/>
      <c r="K381" s="386"/>
      <c r="L381" s="386"/>
      <c r="M381" s="388"/>
      <c r="N381" s="37"/>
      <c r="O381" s="389"/>
      <c r="P381" s="94"/>
      <c r="Q381" s="131"/>
    </row>
    <row r="382" spans="1:27" hidden="1">
      <c r="A382" s="129"/>
      <c r="B382" s="94"/>
      <c r="C382" s="94"/>
      <c r="D382" s="184"/>
      <c r="E382" s="94"/>
      <c r="F382" s="94"/>
      <c r="G382" s="385"/>
      <c r="H382" s="386"/>
      <c r="I382" s="201"/>
      <c r="J382" s="201"/>
      <c r="K382" s="386"/>
      <c r="L382" s="386"/>
      <c r="M382" s="388"/>
      <c r="N382" s="37"/>
      <c r="O382" s="389"/>
      <c r="P382" s="94"/>
      <c r="Q382" s="131"/>
    </row>
    <row r="383" spans="1:27" hidden="1">
      <c r="A383" s="129"/>
      <c r="B383" s="94"/>
      <c r="C383" s="94"/>
      <c r="D383" s="184"/>
      <c r="E383" s="94"/>
      <c r="F383" s="94"/>
      <c r="G383" s="385"/>
      <c r="H383" s="386"/>
      <c r="I383" s="201"/>
      <c r="J383" s="201"/>
      <c r="K383" s="386"/>
      <c r="L383" s="386"/>
      <c r="M383" s="388"/>
      <c r="N383" s="37"/>
      <c r="O383" s="389"/>
      <c r="P383" s="94"/>
      <c r="Q383" s="131"/>
    </row>
    <row r="384" spans="1:27" hidden="1">
      <c r="A384" s="129"/>
      <c r="B384" s="94"/>
      <c r="C384" s="94"/>
      <c r="D384" s="184"/>
      <c r="E384" s="94"/>
      <c r="F384" s="94"/>
      <c r="G384" s="385"/>
      <c r="H384" s="386"/>
      <c r="I384" s="201"/>
      <c r="J384" s="201"/>
      <c r="K384" s="386"/>
      <c r="L384" s="386"/>
      <c r="M384" s="388"/>
      <c r="N384" s="37"/>
      <c r="O384" s="389"/>
      <c r="P384" s="94"/>
      <c r="Q384" s="131"/>
    </row>
    <row r="385" spans="1:27" s="202" customFormat="1" hidden="1">
      <c r="A385" s="129"/>
      <c r="B385" s="94"/>
      <c r="C385" s="94"/>
      <c r="D385" s="184"/>
      <c r="E385" s="94"/>
      <c r="F385" s="94"/>
      <c r="G385" s="385"/>
      <c r="H385" s="386"/>
      <c r="I385" s="201"/>
      <c r="J385" s="201"/>
      <c r="K385" s="201"/>
      <c r="L385" s="386"/>
      <c r="M385" s="388"/>
      <c r="N385" s="37"/>
      <c r="O385" s="389"/>
      <c r="P385" s="94"/>
      <c r="Q385" s="131"/>
      <c r="R385" s="165"/>
      <c r="S385" s="132"/>
      <c r="T385" s="403"/>
      <c r="U385" s="403"/>
      <c r="V385" s="404"/>
      <c r="W385" s="405"/>
      <c r="X385" s="406"/>
      <c r="Y385" s="407"/>
      <c r="AA385" s="203"/>
    </row>
    <row r="386" spans="1:27" hidden="1">
      <c r="A386" s="129"/>
      <c r="B386" s="94"/>
      <c r="C386" s="94"/>
      <c r="D386" s="184"/>
      <c r="E386" s="94"/>
      <c r="F386" s="94"/>
      <c r="G386" s="385"/>
      <c r="H386" s="408"/>
      <c r="I386" s="201"/>
      <c r="J386" s="201"/>
      <c r="K386" s="201"/>
      <c r="L386" s="408"/>
      <c r="M386" s="388"/>
      <c r="N386" s="37"/>
      <c r="O386" s="389"/>
      <c r="P386" s="94"/>
      <c r="Q386" s="131"/>
    </row>
    <row r="387" spans="1:27" hidden="1">
      <c r="A387" s="129"/>
      <c r="B387" s="94"/>
      <c r="C387" s="94"/>
      <c r="D387" s="184"/>
      <c r="E387" s="94"/>
      <c r="F387" s="94"/>
      <c r="G387" s="385"/>
      <c r="H387" s="408"/>
      <c r="I387" s="201"/>
      <c r="J387" s="201"/>
      <c r="K387" s="201"/>
      <c r="L387" s="408"/>
      <c r="M387" s="388"/>
      <c r="N387" s="37"/>
      <c r="O387" s="389"/>
      <c r="P387" s="94"/>
      <c r="Q387" s="131"/>
    </row>
    <row r="388" spans="1:27" hidden="1">
      <c r="A388" s="129"/>
      <c r="B388" s="94"/>
      <c r="C388" s="94"/>
      <c r="D388" s="184"/>
      <c r="E388" s="94"/>
      <c r="F388" s="94"/>
      <c r="G388" s="385"/>
      <c r="H388" s="408"/>
      <c r="I388" s="201"/>
      <c r="J388" s="201"/>
      <c r="K388" s="201"/>
      <c r="L388" s="408"/>
      <c r="M388" s="388"/>
      <c r="N388" s="37"/>
      <c r="O388" s="389"/>
      <c r="P388" s="94"/>
      <c r="Q388" s="131"/>
    </row>
    <row r="389" spans="1:27" hidden="1">
      <c r="A389" s="129"/>
      <c r="B389" s="94"/>
      <c r="C389" s="94"/>
      <c r="D389" s="184"/>
      <c r="E389" s="94"/>
      <c r="F389" s="94"/>
      <c r="G389" s="385"/>
      <c r="H389" s="408"/>
      <c r="I389" s="201"/>
      <c r="J389" s="201"/>
      <c r="K389" s="201"/>
      <c r="L389" s="408"/>
      <c r="M389" s="388"/>
      <c r="N389" s="37"/>
      <c r="O389" s="389"/>
      <c r="P389" s="94"/>
      <c r="Q389" s="131"/>
    </row>
    <row r="390" spans="1:27" ht="17.25" hidden="1" customHeight="1">
      <c r="A390" s="129"/>
      <c r="B390" s="94"/>
      <c r="C390" s="94"/>
      <c r="D390" s="184"/>
      <c r="E390" s="94"/>
      <c r="F390" s="94"/>
      <c r="G390" s="385"/>
      <c r="H390" s="408"/>
      <c r="I390" s="201"/>
      <c r="J390" s="201"/>
      <c r="K390" s="386"/>
      <c r="L390" s="408"/>
      <c r="M390" s="388"/>
      <c r="N390" s="37"/>
      <c r="O390" s="389"/>
      <c r="P390" s="94"/>
      <c r="Q390" s="131"/>
    </row>
    <row r="391" spans="1:27" hidden="1">
      <c r="A391" s="129"/>
      <c r="B391" s="94"/>
      <c r="C391" s="94"/>
      <c r="D391" s="184"/>
      <c r="E391" s="94"/>
      <c r="F391" s="94"/>
      <c r="G391" s="385"/>
      <c r="H391" s="408"/>
      <c r="I391" s="201"/>
      <c r="J391" s="201"/>
      <c r="K391" s="386"/>
      <c r="L391" s="408"/>
      <c r="M391" s="388"/>
      <c r="N391" s="37"/>
      <c r="O391" s="389"/>
      <c r="P391" s="94"/>
      <c r="Q391" s="131"/>
    </row>
    <row r="392" spans="1:27" hidden="1">
      <c r="A392" s="129"/>
      <c r="B392" s="94"/>
      <c r="C392" s="94"/>
      <c r="D392" s="184"/>
      <c r="E392" s="94"/>
      <c r="F392" s="94"/>
      <c r="G392" s="385"/>
      <c r="H392" s="408"/>
      <c r="I392" s="201"/>
      <c r="J392" s="201"/>
      <c r="K392" s="386"/>
      <c r="L392" s="408"/>
      <c r="M392" s="388"/>
      <c r="N392" s="37"/>
      <c r="O392" s="389"/>
      <c r="P392" s="94"/>
      <c r="Q392" s="131"/>
    </row>
    <row r="393" spans="1:27" hidden="1">
      <c r="A393" s="129"/>
      <c r="B393" s="94"/>
      <c r="C393" s="94"/>
      <c r="D393" s="184"/>
      <c r="E393" s="94"/>
      <c r="F393" s="94"/>
      <c r="G393" s="385"/>
      <c r="H393" s="408"/>
      <c r="I393" s="201"/>
      <c r="J393" s="201"/>
      <c r="K393" s="386"/>
      <c r="L393" s="408"/>
      <c r="M393" s="388"/>
      <c r="N393" s="37"/>
      <c r="O393" s="389"/>
      <c r="P393" s="94"/>
      <c r="Q393" s="131"/>
    </row>
    <row r="394" spans="1:27" hidden="1">
      <c r="A394" s="129"/>
      <c r="B394" s="94"/>
      <c r="C394" s="94"/>
      <c r="D394" s="184"/>
      <c r="E394" s="94"/>
      <c r="F394" s="94"/>
      <c r="G394" s="385"/>
      <c r="H394" s="409"/>
      <c r="I394" s="201"/>
      <c r="J394" s="201"/>
      <c r="K394" s="399"/>
      <c r="L394" s="409"/>
      <c r="M394" s="388"/>
      <c r="N394" s="37"/>
      <c r="O394" s="389"/>
      <c r="P394" s="94"/>
      <c r="Q394" s="131"/>
    </row>
    <row r="395" spans="1:27" hidden="1">
      <c r="A395" s="129"/>
      <c r="B395" s="94"/>
      <c r="C395" s="94"/>
      <c r="D395" s="184"/>
      <c r="E395" s="94"/>
      <c r="F395" s="94"/>
      <c r="G395" s="385"/>
      <c r="H395" s="409"/>
      <c r="I395" s="201"/>
      <c r="J395" s="201"/>
      <c r="K395" s="399"/>
      <c r="L395" s="409"/>
      <c r="M395" s="388"/>
      <c r="N395" s="37"/>
      <c r="O395" s="389"/>
      <c r="P395" s="94"/>
      <c r="Q395" s="131"/>
    </row>
    <row r="396" spans="1:27" hidden="1">
      <c r="A396" s="129"/>
      <c r="B396" s="94"/>
      <c r="C396" s="94"/>
      <c r="D396" s="184"/>
      <c r="E396" s="410"/>
      <c r="F396" s="410"/>
      <c r="G396" s="411"/>
      <c r="H396" s="412"/>
      <c r="I396" s="403"/>
      <c r="J396" s="403"/>
      <c r="K396" s="412"/>
      <c r="L396" s="412"/>
      <c r="M396" s="413"/>
      <c r="N396" s="37"/>
      <c r="O396" s="389"/>
      <c r="P396" s="410"/>
      <c r="Q396" s="131"/>
      <c r="R396" s="414"/>
      <c r="S396" s="415"/>
    </row>
    <row r="397" spans="1:27" s="96" customFormat="1" hidden="1">
      <c r="A397" s="129"/>
      <c r="B397" s="94"/>
      <c r="C397" s="94"/>
      <c r="D397" s="184"/>
      <c r="E397" s="94"/>
      <c r="F397" s="94"/>
      <c r="G397" s="385"/>
      <c r="H397" s="386"/>
      <c r="I397" s="201"/>
      <c r="J397" s="201"/>
      <c r="K397" s="386"/>
      <c r="L397" s="386"/>
      <c r="M397" s="388"/>
      <c r="N397" s="37"/>
      <c r="O397" s="389"/>
      <c r="P397" s="94"/>
      <c r="Q397" s="131"/>
      <c r="R397" s="165"/>
      <c r="S397" s="132"/>
      <c r="T397" s="201"/>
      <c r="U397" s="201"/>
      <c r="V397" s="95"/>
      <c r="X397" s="223"/>
      <c r="Y397" s="98"/>
      <c r="Z397" s="97"/>
      <c r="AA397" s="99"/>
    </row>
    <row r="398" spans="1:27" s="96" customFormat="1" hidden="1">
      <c r="A398" s="129"/>
      <c r="B398" s="94"/>
      <c r="C398" s="94"/>
      <c r="D398" s="184"/>
      <c r="E398" s="94"/>
      <c r="F398" s="94"/>
      <c r="G398" s="385"/>
      <c r="H398" s="386"/>
      <c r="I398" s="201"/>
      <c r="J398" s="201"/>
      <c r="K398" s="386"/>
      <c r="L398" s="386"/>
      <c r="M398" s="388"/>
      <c r="N398" s="37"/>
      <c r="O398" s="389"/>
      <c r="P398" s="94"/>
      <c r="Q398" s="131"/>
      <c r="R398" s="165"/>
      <c r="S398" s="132"/>
      <c r="T398" s="201"/>
      <c r="U398" s="201"/>
      <c r="V398" s="95"/>
      <c r="X398" s="223"/>
      <c r="Y398" s="98"/>
      <c r="Z398" s="97"/>
      <c r="AA398" s="99"/>
    </row>
    <row r="399" spans="1:27" s="96" customFormat="1">
      <c r="A399" s="129"/>
      <c r="B399" s="94"/>
      <c r="C399" s="94"/>
      <c r="D399" s="184"/>
      <c r="E399" s="94"/>
      <c r="F399" s="94"/>
      <c r="G399" s="385"/>
      <c r="H399" s="386"/>
      <c r="I399" s="201"/>
      <c r="J399" s="201"/>
      <c r="K399" s="386"/>
      <c r="L399" s="386"/>
      <c r="M399" s="388"/>
      <c r="N399" s="37"/>
      <c r="O399" s="389"/>
      <c r="P399" s="94"/>
      <c r="Q399" s="131"/>
      <c r="R399" s="165"/>
      <c r="S399" s="132"/>
      <c r="T399" s="201"/>
      <c r="U399" s="201"/>
      <c r="V399" s="95"/>
      <c r="X399" s="223"/>
      <c r="Y399" s="98"/>
      <c r="Z399" s="97"/>
      <c r="AA399" s="99"/>
    </row>
    <row r="400" spans="1:27" s="96" customFormat="1" hidden="1">
      <c r="A400" s="129"/>
      <c r="B400" s="94"/>
      <c r="C400" s="94"/>
      <c r="D400" s="184"/>
      <c r="E400" s="94"/>
      <c r="F400" s="94"/>
      <c r="G400" s="385"/>
      <c r="H400" s="386"/>
      <c r="I400" s="201"/>
      <c r="J400" s="201"/>
      <c r="K400" s="386"/>
      <c r="L400" s="201"/>
      <c r="M400" s="388"/>
      <c r="N400" s="37"/>
      <c r="O400" s="389"/>
      <c r="P400" s="94"/>
      <c r="Q400" s="131"/>
      <c r="R400" s="165"/>
      <c r="S400" s="132"/>
      <c r="T400" s="201"/>
      <c r="U400" s="201"/>
      <c r="V400" s="95"/>
      <c r="X400" s="223"/>
      <c r="Y400" s="98"/>
      <c r="Z400" s="97"/>
      <c r="AA400" s="99"/>
    </row>
    <row r="401" spans="1:27" s="96" customFormat="1" hidden="1">
      <c r="A401" s="129"/>
      <c r="B401" s="94"/>
      <c r="C401" s="94"/>
      <c r="D401" s="184"/>
      <c r="E401" s="94"/>
      <c r="F401" s="94"/>
      <c r="G401" s="385"/>
      <c r="H401" s="386"/>
      <c r="I401" s="201"/>
      <c r="J401" s="201"/>
      <c r="K401" s="386"/>
      <c r="L401" s="386"/>
      <c r="M401" s="388"/>
      <c r="N401" s="37"/>
      <c r="O401" s="389"/>
      <c r="P401" s="94"/>
      <c r="Q401" s="131"/>
      <c r="R401" s="165"/>
      <c r="S401" s="132"/>
      <c r="T401" s="201"/>
      <c r="U401" s="201"/>
      <c r="V401" s="95"/>
      <c r="X401" s="223"/>
      <c r="Y401" s="98"/>
      <c r="Z401" s="97"/>
      <c r="AA401" s="99"/>
    </row>
    <row r="402" spans="1:27" s="96" customFormat="1" hidden="1">
      <c r="A402" s="129"/>
      <c r="B402" s="94"/>
      <c r="C402" s="94"/>
      <c r="D402" s="184"/>
      <c r="E402" s="94"/>
      <c r="F402" s="94"/>
      <c r="G402" s="385"/>
      <c r="H402" s="386"/>
      <c r="I402" s="201"/>
      <c r="J402" s="201"/>
      <c r="K402" s="386"/>
      <c r="L402" s="386"/>
      <c r="M402" s="388"/>
      <c r="N402" s="37"/>
      <c r="O402" s="389"/>
      <c r="P402" s="94"/>
      <c r="Q402" s="131"/>
      <c r="R402" s="165"/>
      <c r="S402" s="132"/>
      <c r="T402" s="201"/>
      <c r="U402" s="201"/>
      <c r="V402" s="95"/>
      <c r="X402" s="223"/>
      <c r="Y402" s="98"/>
      <c r="Z402" s="97"/>
      <c r="AA402" s="99"/>
    </row>
    <row r="403" spans="1:27" s="96" customFormat="1" hidden="1">
      <c r="A403" s="129"/>
      <c r="B403" s="94"/>
      <c r="C403" s="94"/>
      <c r="D403" s="184"/>
      <c r="E403" s="94"/>
      <c r="F403" s="94"/>
      <c r="G403" s="385"/>
      <c r="H403" s="386"/>
      <c r="I403" s="201"/>
      <c r="J403" s="201"/>
      <c r="K403" s="386"/>
      <c r="L403" s="386"/>
      <c r="M403" s="388"/>
      <c r="N403" s="37"/>
      <c r="O403" s="389"/>
      <c r="P403" s="94"/>
      <c r="Q403" s="131"/>
      <c r="R403" s="165"/>
      <c r="S403" s="132"/>
      <c r="T403" s="201"/>
      <c r="U403" s="201"/>
      <c r="V403" s="95"/>
      <c r="X403" s="223"/>
      <c r="Y403" s="98"/>
      <c r="Z403" s="97"/>
      <c r="AA403" s="99"/>
    </row>
    <row r="404" spans="1:27" s="96" customFormat="1" hidden="1">
      <c r="A404" s="129"/>
      <c r="B404" s="94"/>
      <c r="C404" s="94"/>
      <c r="D404" s="184"/>
      <c r="E404" s="94"/>
      <c r="F404" s="94"/>
      <c r="G404" s="385"/>
      <c r="H404" s="386"/>
      <c r="I404" s="201"/>
      <c r="J404" s="201"/>
      <c r="K404" s="386"/>
      <c r="L404" s="386"/>
      <c r="M404" s="388"/>
      <c r="N404" s="37"/>
      <c r="O404" s="389"/>
      <c r="P404" s="94"/>
      <c r="Q404" s="131"/>
      <c r="R404" s="165"/>
      <c r="S404" s="132"/>
      <c r="T404" s="201"/>
      <c r="U404" s="201"/>
      <c r="V404" s="95"/>
      <c r="X404" s="223"/>
      <c r="Y404" s="98"/>
      <c r="Z404" s="97"/>
      <c r="AA404" s="99"/>
    </row>
    <row r="405" spans="1:27" s="96" customFormat="1" hidden="1">
      <c r="A405" s="129"/>
      <c r="B405" s="94"/>
      <c r="C405" s="94"/>
      <c r="D405" s="184"/>
      <c r="E405" s="94"/>
      <c r="F405" s="94"/>
      <c r="G405" s="385"/>
      <c r="H405" s="386"/>
      <c r="I405" s="201"/>
      <c r="J405" s="201"/>
      <c r="K405" s="386"/>
      <c r="L405" s="386"/>
      <c r="M405" s="388"/>
      <c r="N405" s="37"/>
      <c r="O405" s="389"/>
      <c r="P405" s="94"/>
      <c r="Q405" s="131"/>
      <c r="R405" s="165"/>
      <c r="S405" s="132"/>
      <c r="T405" s="201"/>
      <c r="U405" s="201"/>
      <c r="V405" s="95"/>
      <c r="X405" s="223"/>
      <c r="Y405" s="98"/>
      <c r="Z405" s="97"/>
      <c r="AA405" s="99"/>
    </row>
    <row r="406" spans="1:27" s="96" customFormat="1" hidden="1">
      <c r="A406" s="129"/>
      <c r="B406" s="94"/>
      <c r="C406" s="94"/>
      <c r="D406" s="184"/>
      <c r="E406" s="94"/>
      <c r="F406" s="94"/>
      <c r="G406" s="385"/>
      <c r="H406" s="386"/>
      <c r="I406" s="201"/>
      <c r="J406" s="201"/>
      <c r="K406" s="386"/>
      <c r="L406" s="386"/>
      <c r="M406" s="388"/>
      <c r="N406" s="37"/>
      <c r="O406" s="389"/>
      <c r="P406" s="94"/>
      <c r="Q406" s="131"/>
      <c r="R406" s="165"/>
      <c r="S406" s="132"/>
      <c r="T406" s="201"/>
      <c r="U406" s="201"/>
      <c r="V406" s="95"/>
      <c r="X406" s="223"/>
      <c r="Y406" s="98"/>
      <c r="Z406" s="97"/>
      <c r="AA406" s="99"/>
    </row>
    <row r="407" spans="1:27" s="96" customFormat="1" hidden="1">
      <c r="A407" s="129"/>
      <c r="B407" s="94"/>
      <c r="C407" s="94"/>
      <c r="D407" s="184"/>
      <c r="E407" s="94"/>
      <c r="F407" s="94"/>
      <c r="G407" s="385"/>
      <c r="H407" s="386"/>
      <c r="I407" s="201"/>
      <c r="J407" s="201"/>
      <c r="K407" s="386"/>
      <c r="L407" s="386"/>
      <c r="M407" s="388"/>
      <c r="N407" s="37"/>
      <c r="O407" s="389"/>
      <c r="P407" s="94"/>
      <c r="Q407" s="131"/>
      <c r="R407" s="165"/>
      <c r="S407" s="132"/>
      <c r="T407" s="201"/>
      <c r="U407" s="201"/>
      <c r="V407" s="95"/>
      <c r="X407" s="223"/>
      <c r="Y407" s="98"/>
      <c r="Z407" s="97"/>
      <c r="AA407" s="99"/>
    </row>
    <row r="408" spans="1:27" s="96" customFormat="1" hidden="1">
      <c r="A408" s="129"/>
      <c r="B408" s="94"/>
      <c r="C408" s="94"/>
      <c r="D408" s="184"/>
      <c r="E408" s="94"/>
      <c r="F408" s="94"/>
      <c r="G408" s="385"/>
      <c r="H408" s="386"/>
      <c r="I408" s="201"/>
      <c r="J408" s="201"/>
      <c r="K408" s="386"/>
      <c r="L408" s="386"/>
      <c r="M408" s="388"/>
      <c r="N408" s="37"/>
      <c r="O408" s="389"/>
      <c r="P408" s="94"/>
      <c r="Q408" s="131"/>
      <c r="R408" s="165"/>
      <c r="S408" s="132"/>
      <c r="T408" s="201"/>
      <c r="U408" s="201"/>
      <c r="V408" s="95"/>
      <c r="X408" s="223"/>
      <c r="Y408" s="98"/>
      <c r="Z408" s="97"/>
      <c r="AA408" s="99"/>
    </row>
    <row r="409" spans="1:27" s="96" customFormat="1" hidden="1">
      <c r="A409" s="129"/>
      <c r="B409" s="94"/>
      <c r="C409" s="94"/>
      <c r="D409" s="184"/>
      <c r="E409" s="94"/>
      <c r="F409" s="94"/>
      <c r="G409" s="385"/>
      <c r="H409" s="386"/>
      <c r="I409" s="201"/>
      <c r="J409" s="201"/>
      <c r="K409" s="386"/>
      <c r="L409" s="386"/>
      <c r="M409" s="388"/>
      <c r="N409" s="37"/>
      <c r="O409" s="389"/>
      <c r="P409" s="94"/>
      <c r="Q409" s="131"/>
      <c r="R409" s="165"/>
      <c r="S409" s="132"/>
      <c r="T409" s="201"/>
      <c r="U409" s="201"/>
      <c r="V409" s="95"/>
      <c r="X409" s="223"/>
      <c r="Y409" s="98"/>
      <c r="Z409" s="97"/>
      <c r="AA409" s="99"/>
    </row>
    <row r="410" spans="1:27" s="96" customFormat="1" hidden="1">
      <c r="A410" s="129"/>
      <c r="B410" s="94"/>
      <c r="C410" s="94"/>
      <c r="D410" s="184"/>
      <c r="E410" s="94"/>
      <c r="F410" s="94"/>
      <c r="G410" s="385"/>
      <c r="H410" s="386"/>
      <c r="I410" s="201"/>
      <c r="J410" s="201"/>
      <c r="K410" s="386"/>
      <c r="L410" s="386"/>
      <c r="M410" s="388"/>
      <c r="N410" s="37"/>
      <c r="O410" s="389"/>
      <c r="P410" s="94"/>
      <c r="Q410" s="131"/>
      <c r="R410" s="165"/>
      <c r="S410" s="132"/>
      <c r="T410" s="201"/>
      <c r="U410" s="201"/>
      <c r="V410" s="95"/>
      <c r="X410" s="223"/>
      <c r="Y410" s="98"/>
      <c r="Z410" s="97"/>
      <c r="AA410" s="99"/>
    </row>
    <row r="411" spans="1:27" s="96" customFormat="1" hidden="1">
      <c r="A411" s="129"/>
      <c r="B411" s="94"/>
      <c r="C411" s="94"/>
      <c r="D411" s="184"/>
      <c r="E411" s="94"/>
      <c r="F411" s="94"/>
      <c r="G411" s="385"/>
      <c r="H411" s="386"/>
      <c r="I411" s="201"/>
      <c r="J411" s="201"/>
      <c r="K411" s="386"/>
      <c r="L411" s="386"/>
      <c r="M411" s="388"/>
      <c r="N411" s="37"/>
      <c r="O411" s="389"/>
      <c r="P411" s="94"/>
      <c r="Q411" s="131"/>
      <c r="R411" s="165"/>
      <c r="S411" s="132"/>
      <c r="T411" s="201"/>
      <c r="U411" s="201"/>
      <c r="V411" s="95"/>
      <c r="X411" s="223"/>
      <c r="Y411" s="98"/>
      <c r="Z411" s="97"/>
      <c r="AA411" s="99"/>
    </row>
    <row r="412" spans="1:27" s="96" customFormat="1" hidden="1">
      <c r="A412" s="129"/>
      <c r="B412" s="94"/>
      <c r="C412" s="94"/>
      <c r="D412" s="184"/>
      <c r="E412" s="94"/>
      <c r="F412" s="94"/>
      <c r="G412" s="385"/>
      <c r="H412" s="386"/>
      <c r="I412" s="201"/>
      <c r="J412" s="201"/>
      <c r="K412" s="386"/>
      <c r="L412" s="386"/>
      <c r="M412" s="388"/>
      <c r="N412" s="37"/>
      <c r="O412" s="389"/>
      <c r="P412" s="94"/>
      <c r="Q412" s="131"/>
      <c r="R412" s="165"/>
      <c r="S412" s="132"/>
      <c r="T412" s="201"/>
      <c r="U412" s="201"/>
      <c r="V412" s="95"/>
      <c r="X412" s="223"/>
      <c r="Y412" s="98"/>
      <c r="Z412" s="97"/>
      <c r="AA412" s="99"/>
    </row>
    <row r="413" spans="1:27" s="96" customFormat="1" hidden="1">
      <c r="A413" s="129"/>
      <c r="B413" s="94"/>
      <c r="C413" s="94"/>
      <c r="D413" s="184"/>
      <c r="E413" s="94"/>
      <c r="F413" s="94"/>
      <c r="G413" s="385"/>
      <c r="H413" s="386"/>
      <c r="I413" s="201"/>
      <c r="J413" s="201"/>
      <c r="K413" s="386"/>
      <c r="L413" s="386"/>
      <c r="M413" s="388"/>
      <c r="N413" s="37"/>
      <c r="O413" s="389"/>
      <c r="P413" s="94"/>
      <c r="Q413" s="131"/>
      <c r="R413" s="165"/>
      <c r="S413" s="132"/>
      <c r="T413" s="201"/>
      <c r="U413" s="201"/>
      <c r="V413" s="95"/>
      <c r="X413" s="223"/>
      <c r="Y413" s="98"/>
      <c r="Z413" s="97"/>
      <c r="AA413" s="99"/>
    </row>
    <row r="414" spans="1:27" s="96" customFormat="1" hidden="1">
      <c r="A414" s="129"/>
      <c r="B414" s="94"/>
      <c r="C414" s="94"/>
      <c r="D414" s="184"/>
      <c r="E414" s="94"/>
      <c r="F414" s="94"/>
      <c r="G414" s="385"/>
      <c r="H414" s="386"/>
      <c r="I414" s="201"/>
      <c r="J414" s="201"/>
      <c r="K414" s="386"/>
      <c r="L414" s="386"/>
      <c r="M414" s="388"/>
      <c r="N414" s="37"/>
      <c r="O414" s="389"/>
      <c r="P414" s="94"/>
      <c r="Q414" s="131"/>
      <c r="R414" s="165"/>
      <c r="S414" s="132"/>
      <c r="T414" s="201"/>
      <c r="U414" s="201"/>
      <c r="V414" s="95"/>
      <c r="X414" s="223"/>
      <c r="Y414" s="98"/>
      <c r="Z414" s="97"/>
      <c r="AA414" s="99"/>
    </row>
    <row r="415" spans="1:27" s="96" customFormat="1" hidden="1">
      <c r="A415" s="129"/>
      <c r="B415" s="94"/>
      <c r="C415" s="94"/>
      <c r="D415" s="184"/>
      <c r="E415" s="94"/>
      <c r="F415" s="94"/>
      <c r="G415" s="385"/>
      <c r="H415" s="386"/>
      <c r="I415" s="201"/>
      <c r="J415" s="201"/>
      <c r="K415" s="386"/>
      <c r="L415" s="386"/>
      <c r="M415" s="388"/>
      <c r="N415" s="37"/>
      <c r="O415" s="389"/>
      <c r="P415" s="94"/>
      <c r="Q415" s="131"/>
      <c r="R415" s="165"/>
      <c r="S415" s="132"/>
      <c r="T415" s="201"/>
      <c r="U415" s="201"/>
      <c r="V415" s="95"/>
      <c r="X415" s="223"/>
      <c r="Y415" s="98"/>
      <c r="Z415" s="97"/>
      <c r="AA415" s="99"/>
    </row>
    <row r="416" spans="1:27" s="96" customFormat="1" hidden="1">
      <c r="A416" s="129"/>
      <c r="B416" s="94"/>
      <c r="C416" s="94"/>
      <c r="D416" s="184"/>
      <c r="E416" s="94"/>
      <c r="F416" s="94"/>
      <c r="G416" s="385"/>
      <c r="H416" s="386"/>
      <c r="I416" s="201"/>
      <c r="J416" s="201"/>
      <c r="K416" s="201"/>
      <c r="L416" s="386"/>
      <c r="M416" s="388"/>
      <c r="N416" s="37"/>
      <c r="O416" s="389"/>
      <c r="P416" s="94"/>
      <c r="Q416" s="131"/>
      <c r="R416" s="165"/>
      <c r="S416" s="132"/>
      <c r="T416" s="201"/>
      <c r="U416" s="201"/>
      <c r="V416" s="95"/>
      <c r="X416" s="223"/>
      <c r="Y416" s="98"/>
      <c r="Z416" s="97"/>
      <c r="AA416" s="99"/>
    </row>
    <row r="417" spans="1:27" s="96" customFormat="1">
      <c r="A417" s="129"/>
      <c r="B417" s="94"/>
      <c r="C417" s="94"/>
      <c r="D417" s="184"/>
      <c r="E417" s="94"/>
      <c r="F417" s="394"/>
      <c r="G417" s="394"/>
      <c r="H417" s="395"/>
      <c r="I417" s="396"/>
      <c r="J417" s="397"/>
      <c r="K417" s="395"/>
      <c r="L417" s="386"/>
      <c r="M417" s="388"/>
      <c r="N417" s="37"/>
      <c r="O417" s="389"/>
      <c r="P417" s="94"/>
      <c r="Q417" s="131"/>
      <c r="R417" s="165"/>
      <c r="S417" s="132"/>
      <c r="T417" s="131"/>
      <c r="U417" s="131"/>
      <c r="V417" s="95"/>
      <c r="X417" s="223"/>
      <c r="Y417" s="98"/>
      <c r="Z417" s="97"/>
      <c r="AA417" s="99"/>
    </row>
    <row r="418" spans="1:27" s="96" customFormat="1">
      <c r="A418" s="129"/>
      <c r="B418" s="94"/>
      <c r="C418" s="94"/>
      <c r="D418" s="184"/>
      <c r="E418" s="94"/>
      <c r="F418" s="394"/>
      <c r="G418" s="394"/>
      <c r="H418" s="395"/>
      <c r="I418" s="396"/>
      <c r="J418" s="397"/>
      <c r="K418" s="395"/>
      <c r="L418" s="386"/>
      <c r="M418" s="388"/>
      <c r="N418" s="37"/>
      <c r="O418" s="389"/>
      <c r="P418" s="94"/>
      <c r="Q418" s="131"/>
      <c r="R418" s="165"/>
      <c r="S418" s="132"/>
      <c r="T418" s="131"/>
      <c r="U418" s="131"/>
      <c r="V418" s="95"/>
      <c r="X418" s="223"/>
      <c r="Y418" s="98"/>
      <c r="Z418" s="97"/>
      <c r="AA418" s="99"/>
    </row>
    <row r="419" spans="1:27" s="96" customFormat="1" hidden="1">
      <c r="A419" s="129"/>
      <c r="B419" s="94"/>
      <c r="C419" s="94"/>
      <c r="D419" s="184"/>
      <c r="E419" s="94"/>
      <c r="F419" s="394"/>
      <c r="G419" s="394"/>
      <c r="H419" s="396"/>
      <c r="I419" s="396"/>
      <c r="J419" s="397"/>
      <c r="K419" s="396"/>
      <c r="L419" s="386"/>
      <c r="M419" s="388"/>
      <c r="N419" s="37"/>
      <c r="O419" s="389"/>
      <c r="P419" s="94"/>
      <c r="Q419" s="131"/>
      <c r="R419" s="165"/>
      <c r="S419" s="132"/>
      <c r="T419" s="201"/>
      <c r="U419" s="201"/>
      <c r="V419" s="95"/>
      <c r="X419" s="223"/>
      <c r="Y419" s="98"/>
      <c r="Z419" s="97"/>
      <c r="AA419" s="99"/>
    </row>
    <row r="420" spans="1:27" s="96" customFormat="1" hidden="1">
      <c r="A420" s="129"/>
      <c r="B420" s="94"/>
      <c r="C420" s="94"/>
      <c r="D420" s="184"/>
      <c r="E420" s="94"/>
      <c r="F420" s="394"/>
      <c r="G420" s="394"/>
      <c r="H420" s="396"/>
      <c r="I420" s="396"/>
      <c r="J420" s="397"/>
      <c r="K420" s="396"/>
      <c r="L420" s="386"/>
      <c r="M420" s="388"/>
      <c r="N420" s="37"/>
      <c r="O420" s="389"/>
      <c r="P420" s="94"/>
      <c r="Q420" s="131"/>
      <c r="R420" s="165"/>
      <c r="S420" s="132"/>
      <c r="T420" s="201"/>
      <c r="U420" s="201"/>
      <c r="V420" s="95"/>
      <c r="X420" s="223"/>
      <c r="Y420" s="98"/>
      <c r="Z420" s="97"/>
      <c r="AA420" s="99"/>
    </row>
    <row r="421" spans="1:27" s="96" customFormat="1" hidden="1">
      <c r="A421" s="129"/>
      <c r="B421" s="94"/>
      <c r="C421" s="94"/>
      <c r="D421" s="184"/>
      <c r="E421" s="94"/>
      <c r="F421" s="394"/>
      <c r="G421" s="394"/>
      <c r="H421" s="395"/>
      <c r="I421" s="396"/>
      <c r="J421" s="397"/>
      <c r="K421" s="395"/>
      <c r="L421" s="386"/>
      <c r="M421" s="388"/>
      <c r="N421" s="37"/>
      <c r="O421" s="389"/>
      <c r="P421" s="94"/>
      <c r="Q421" s="131"/>
      <c r="R421" s="165"/>
      <c r="S421" s="132"/>
      <c r="T421" s="201"/>
      <c r="U421" s="201"/>
      <c r="V421" s="95"/>
      <c r="X421" s="223"/>
      <c r="Y421" s="98"/>
      <c r="Z421" s="97"/>
      <c r="AA421" s="99"/>
    </row>
    <row r="422" spans="1:27" s="96" customFormat="1" hidden="1">
      <c r="A422" s="129"/>
      <c r="B422" s="94"/>
      <c r="C422" s="94"/>
      <c r="D422" s="184"/>
      <c r="E422" s="94"/>
      <c r="F422" s="394"/>
      <c r="G422" s="394"/>
      <c r="H422" s="396"/>
      <c r="I422" s="396"/>
      <c r="J422" s="397"/>
      <c r="K422" s="396"/>
      <c r="L422" s="386"/>
      <c r="M422" s="388"/>
      <c r="N422" s="37"/>
      <c r="O422" s="389"/>
      <c r="P422" s="94"/>
      <c r="Q422" s="131"/>
      <c r="R422" s="165"/>
      <c r="S422" s="132"/>
      <c r="T422" s="201"/>
      <c r="U422" s="201"/>
      <c r="V422" s="95"/>
      <c r="X422" s="223"/>
      <c r="Y422" s="98"/>
      <c r="Z422" s="97"/>
      <c r="AA422" s="99"/>
    </row>
    <row r="423" spans="1:27" s="96" customFormat="1" hidden="1">
      <c r="A423" s="129"/>
      <c r="B423" s="94"/>
      <c r="C423" s="94"/>
      <c r="D423" s="184"/>
      <c r="E423" s="94"/>
      <c r="F423" s="394"/>
      <c r="G423" s="394"/>
      <c r="H423" s="395"/>
      <c r="I423" s="396"/>
      <c r="J423" s="397"/>
      <c r="K423" s="395"/>
      <c r="L423" s="386"/>
      <c r="M423" s="388"/>
      <c r="N423" s="37"/>
      <c r="O423" s="389"/>
      <c r="P423" s="94"/>
      <c r="Q423" s="131"/>
      <c r="R423" s="165"/>
      <c r="S423" s="132"/>
      <c r="T423" s="201"/>
      <c r="U423" s="201"/>
      <c r="V423" s="95"/>
      <c r="X423" s="223"/>
      <c r="Y423" s="98"/>
      <c r="Z423" s="97"/>
      <c r="AA423" s="99"/>
    </row>
    <row r="424" spans="1:27" s="96" customFormat="1" hidden="1">
      <c r="A424" s="129"/>
      <c r="B424" s="94"/>
      <c r="C424" s="94"/>
      <c r="D424" s="184"/>
      <c r="E424" s="94"/>
      <c r="F424" s="394"/>
      <c r="G424" s="394"/>
      <c r="H424" s="395"/>
      <c r="I424" s="396"/>
      <c r="J424" s="397"/>
      <c r="K424" s="395"/>
      <c r="L424" s="386"/>
      <c r="M424" s="388"/>
      <c r="N424" s="37"/>
      <c r="O424" s="389"/>
      <c r="P424" s="94"/>
      <c r="Q424" s="131"/>
      <c r="R424" s="165"/>
      <c r="S424" s="132"/>
      <c r="T424" s="201"/>
      <c r="U424" s="201"/>
      <c r="V424" s="95"/>
      <c r="X424" s="223"/>
      <c r="Y424" s="98"/>
      <c r="Z424" s="97"/>
      <c r="AA424" s="99"/>
    </row>
    <row r="425" spans="1:27" s="96" customFormat="1" hidden="1">
      <c r="A425" s="129"/>
      <c r="B425" s="94"/>
      <c r="C425" s="94"/>
      <c r="D425" s="184"/>
      <c r="E425" s="94"/>
      <c r="F425" s="394"/>
      <c r="G425" s="394"/>
      <c r="H425" s="396"/>
      <c r="I425" s="396"/>
      <c r="J425" s="397"/>
      <c r="K425" s="396"/>
      <c r="L425" s="386"/>
      <c r="M425" s="388"/>
      <c r="N425" s="37"/>
      <c r="O425" s="389"/>
      <c r="P425" s="94"/>
      <c r="Q425" s="131"/>
      <c r="R425" s="165"/>
      <c r="S425" s="132"/>
      <c r="T425" s="201"/>
      <c r="U425" s="201"/>
      <c r="V425" s="95"/>
      <c r="X425" s="223"/>
      <c r="Y425" s="98"/>
      <c r="Z425" s="97"/>
      <c r="AA425" s="99"/>
    </row>
    <row r="426" spans="1:27" s="96" customFormat="1" hidden="1">
      <c r="A426" s="129"/>
      <c r="B426" s="94"/>
      <c r="C426" s="94"/>
      <c r="D426" s="184"/>
      <c r="E426" s="94"/>
      <c r="F426" s="394"/>
      <c r="G426" s="394"/>
      <c r="H426" s="396"/>
      <c r="I426" s="396"/>
      <c r="J426" s="397"/>
      <c r="K426" s="396"/>
      <c r="L426" s="386"/>
      <c r="M426" s="388"/>
      <c r="N426" s="37"/>
      <c r="O426" s="389"/>
      <c r="P426" s="94"/>
      <c r="Q426" s="131"/>
      <c r="R426" s="165"/>
      <c r="S426" s="132"/>
      <c r="T426" s="201"/>
      <c r="U426" s="201"/>
      <c r="V426" s="95"/>
      <c r="X426" s="223"/>
      <c r="Y426" s="98"/>
      <c r="Z426" s="97"/>
      <c r="AA426" s="99"/>
    </row>
    <row r="427" spans="1:27" s="96" customFormat="1" hidden="1">
      <c r="A427" s="129"/>
      <c r="B427" s="94"/>
      <c r="C427" s="94"/>
      <c r="D427" s="184"/>
      <c r="E427" s="94"/>
      <c r="F427" s="394"/>
      <c r="G427" s="394"/>
      <c r="H427" s="395"/>
      <c r="I427" s="396"/>
      <c r="J427" s="397"/>
      <c r="K427" s="395"/>
      <c r="L427" s="386"/>
      <c r="M427" s="388"/>
      <c r="N427" s="37"/>
      <c r="O427" s="389"/>
      <c r="P427" s="94"/>
      <c r="Q427" s="131"/>
      <c r="R427" s="165"/>
      <c r="S427" s="132"/>
      <c r="T427" s="201"/>
      <c r="U427" s="201"/>
      <c r="V427" s="95"/>
      <c r="X427" s="223"/>
      <c r="Y427" s="98"/>
      <c r="Z427" s="97"/>
      <c r="AA427" s="99"/>
    </row>
    <row r="428" spans="1:27" s="96" customFormat="1" hidden="1">
      <c r="A428" s="129"/>
      <c r="B428" s="94"/>
      <c r="C428" s="94"/>
      <c r="D428" s="184"/>
      <c r="E428" s="94"/>
      <c r="F428" s="394"/>
      <c r="G428" s="394"/>
      <c r="H428" s="395"/>
      <c r="I428" s="396"/>
      <c r="J428" s="397"/>
      <c r="K428" s="395"/>
      <c r="L428" s="386"/>
      <c r="M428" s="388"/>
      <c r="N428" s="37"/>
      <c r="O428" s="389"/>
      <c r="P428" s="94"/>
      <c r="Q428" s="131"/>
      <c r="R428" s="165"/>
      <c r="S428" s="132"/>
      <c r="T428" s="201"/>
      <c r="U428" s="201"/>
      <c r="V428" s="95"/>
      <c r="X428" s="223"/>
      <c r="Y428" s="98"/>
      <c r="Z428" s="97"/>
      <c r="AA428" s="99"/>
    </row>
    <row r="429" spans="1:27" s="96" customFormat="1" hidden="1">
      <c r="A429" s="129"/>
      <c r="B429" s="94"/>
      <c r="C429" s="94"/>
      <c r="D429" s="184"/>
      <c r="E429" s="94"/>
      <c r="F429" s="394"/>
      <c r="G429" s="394"/>
      <c r="H429" s="395"/>
      <c r="I429" s="396"/>
      <c r="J429" s="397"/>
      <c r="K429" s="395"/>
      <c r="L429" s="386"/>
      <c r="M429" s="388"/>
      <c r="N429" s="37"/>
      <c r="O429" s="389"/>
      <c r="P429" s="94"/>
      <c r="Q429" s="131"/>
      <c r="R429" s="165"/>
      <c r="S429" s="132"/>
      <c r="T429" s="201"/>
      <c r="U429" s="201"/>
      <c r="V429" s="95"/>
      <c r="X429" s="223"/>
      <c r="Y429" s="98"/>
      <c r="Z429" s="97"/>
      <c r="AA429" s="99"/>
    </row>
    <row r="430" spans="1:27" s="96" customFormat="1" hidden="1">
      <c r="A430" s="129"/>
      <c r="B430" s="94"/>
      <c r="C430" s="94"/>
      <c r="D430" s="184"/>
      <c r="E430" s="94"/>
      <c r="F430" s="394"/>
      <c r="G430" s="394"/>
      <c r="H430" s="395"/>
      <c r="I430" s="396"/>
      <c r="J430" s="397"/>
      <c r="K430" s="395"/>
      <c r="L430" s="386"/>
      <c r="M430" s="388"/>
      <c r="N430" s="37"/>
      <c r="O430" s="389"/>
      <c r="P430" s="94"/>
      <c r="Q430" s="131"/>
      <c r="R430" s="165"/>
      <c r="S430" s="132"/>
      <c r="T430" s="201"/>
      <c r="U430" s="201"/>
      <c r="V430" s="95"/>
      <c r="X430" s="223"/>
      <c r="Y430" s="98"/>
      <c r="Z430" s="97"/>
      <c r="AA430" s="99"/>
    </row>
    <row r="431" spans="1:27" s="96" customFormat="1" hidden="1">
      <c r="A431" s="129"/>
      <c r="B431" s="94"/>
      <c r="C431" s="94"/>
      <c r="D431" s="184"/>
      <c r="E431" s="94"/>
      <c r="F431" s="394"/>
      <c r="G431" s="394"/>
      <c r="H431" s="395"/>
      <c r="I431" s="396"/>
      <c r="J431" s="397"/>
      <c r="K431" s="395"/>
      <c r="L431" s="386"/>
      <c r="M431" s="388"/>
      <c r="N431" s="37"/>
      <c r="O431" s="389"/>
      <c r="P431" s="94"/>
      <c r="Q431" s="131"/>
      <c r="R431" s="165"/>
      <c r="S431" s="132"/>
      <c r="T431" s="201"/>
      <c r="U431" s="201"/>
      <c r="V431" s="95"/>
      <c r="X431" s="223"/>
      <c r="Y431" s="98"/>
      <c r="Z431" s="97"/>
      <c r="AA431" s="99"/>
    </row>
    <row r="432" spans="1:27" s="96" customFormat="1" ht="20.25" hidden="1" customHeight="1">
      <c r="A432" s="129"/>
      <c r="B432" s="94"/>
      <c r="C432" s="94"/>
      <c r="D432" s="184"/>
      <c r="E432" s="94"/>
      <c r="F432" s="394"/>
      <c r="G432" s="394"/>
      <c r="H432" s="395"/>
      <c r="I432" s="396"/>
      <c r="J432" s="397"/>
      <c r="K432" s="395"/>
      <c r="L432" s="386"/>
      <c r="M432" s="388"/>
      <c r="N432" s="37"/>
      <c r="O432" s="389"/>
      <c r="P432" s="94"/>
      <c r="Q432" s="131"/>
      <c r="R432" s="165"/>
      <c r="S432" s="132"/>
      <c r="T432" s="201"/>
      <c r="U432" s="201"/>
      <c r="V432" s="95"/>
      <c r="X432" s="223"/>
      <c r="Y432" s="98"/>
      <c r="Z432" s="97"/>
      <c r="AA432" s="99"/>
    </row>
    <row r="433" spans="1:27" s="96" customFormat="1" hidden="1">
      <c r="A433" s="129"/>
      <c r="B433" s="94"/>
      <c r="C433" s="94"/>
      <c r="D433" s="184"/>
      <c r="E433" s="94"/>
      <c r="F433" s="394"/>
      <c r="G433" s="394"/>
      <c r="H433" s="395"/>
      <c r="I433" s="396"/>
      <c r="J433" s="397"/>
      <c r="K433" s="395"/>
      <c r="L433" s="386"/>
      <c r="M433" s="388"/>
      <c r="N433" s="37"/>
      <c r="O433" s="389"/>
      <c r="P433" s="94"/>
      <c r="Q433" s="131"/>
      <c r="R433" s="165"/>
      <c r="S433" s="132"/>
      <c r="T433" s="201"/>
      <c r="U433" s="201"/>
      <c r="V433" s="95"/>
      <c r="X433" s="223"/>
      <c r="Y433" s="98"/>
      <c r="Z433" s="97"/>
      <c r="AA433" s="99"/>
    </row>
    <row r="434" spans="1:27" s="96" customFormat="1" hidden="1">
      <c r="A434" s="129"/>
      <c r="B434" s="94"/>
      <c r="C434" s="94"/>
      <c r="D434" s="184"/>
      <c r="E434" s="94"/>
      <c r="F434" s="394"/>
      <c r="G434" s="394"/>
      <c r="H434" s="396"/>
      <c r="I434" s="396"/>
      <c r="J434" s="397"/>
      <c r="K434" s="396"/>
      <c r="L434" s="386"/>
      <c r="M434" s="388"/>
      <c r="N434" s="37"/>
      <c r="O434" s="389"/>
      <c r="P434" s="94"/>
      <c r="Q434" s="131"/>
      <c r="R434" s="165"/>
      <c r="S434" s="132"/>
      <c r="T434" s="201"/>
      <c r="U434" s="201"/>
      <c r="V434" s="95"/>
      <c r="X434" s="223"/>
      <c r="Y434" s="98"/>
      <c r="Z434" s="97"/>
      <c r="AA434" s="99"/>
    </row>
    <row r="435" spans="1:27" s="96" customFormat="1" hidden="1">
      <c r="A435" s="129"/>
      <c r="B435" s="94"/>
      <c r="C435" s="94"/>
      <c r="D435" s="184"/>
      <c r="E435" s="94"/>
      <c r="F435" s="94"/>
      <c r="G435" s="385"/>
      <c r="H435" s="386"/>
      <c r="I435" s="201"/>
      <c r="J435" s="201"/>
      <c r="K435" s="201"/>
      <c r="L435" s="386"/>
      <c r="M435" s="388"/>
      <c r="N435" s="37"/>
      <c r="O435" s="389"/>
      <c r="P435" s="94"/>
      <c r="Q435" s="131"/>
      <c r="R435" s="165"/>
      <c r="S435" s="132"/>
      <c r="T435" s="201"/>
      <c r="U435" s="201"/>
      <c r="V435" s="95"/>
      <c r="X435" s="223"/>
      <c r="Y435" s="98"/>
      <c r="Z435" s="97"/>
      <c r="AA435" s="99"/>
    </row>
    <row r="436" spans="1:27" s="96" customFormat="1" hidden="1">
      <c r="A436" s="129"/>
      <c r="B436" s="94"/>
      <c r="C436" s="94"/>
      <c r="D436" s="184"/>
      <c r="E436" s="94"/>
      <c r="F436" s="94"/>
      <c r="G436" s="385"/>
      <c r="H436" s="386"/>
      <c r="I436" s="201"/>
      <c r="J436" s="201"/>
      <c r="K436" s="201"/>
      <c r="L436" s="386"/>
      <c r="M436" s="388"/>
      <c r="N436" s="37"/>
      <c r="O436" s="389"/>
      <c r="P436" s="94"/>
      <c r="Q436" s="131"/>
      <c r="R436" s="165"/>
      <c r="S436" s="132"/>
      <c r="T436" s="201"/>
      <c r="U436" s="201"/>
      <c r="V436" s="95"/>
      <c r="X436" s="223"/>
      <c r="Y436" s="98"/>
      <c r="Z436" s="97"/>
      <c r="AA436" s="99"/>
    </row>
    <row r="437" spans="1:27" s="96" customFormat="1" hidden="1">
      <c r="A437" s="129"/>
      <c r="B437" s="94"/>
      <c r="C437" s="94"/>
      <c r="D437" s="184"/>
      <c r="E437" s="94"/>
      <c r="F437" s="94"/>
      <c r="G437" s="385"/>
      <c r="H437" s="386"/>
      <c r="I437" s="201"/>
      <c r="J437" s="201"/>
      <c r="K437" s="201"/>
      <c r="L437" s="386"/>
      <c r="M437" s="388"/>
      <c r="N437" s="37"/>
      <c r="O437" s="389"/>
      <c r="P437" s="94"/>
      <c r="Q437" s="131"/>
      <c r="R437" s="165"/>
      <c r="S437" s="132"/>
      <c r="T437" s="201"/>
      <c r="U437" s="201"/>
      <c r="V437" s="95"/>
      <c r="X437" s="223"/>
      <c r="Y437" s="98"/>
      <c r="Z437" s="97"/>
      <c r="AA437" s="99"/>
    </row>
    <row r="438" spans="1:27" s="96" customFormat="1" hidden="1">
      <c r="A438" s="129"/>
      <c r="B438" s="94"/>
      <c r="C438" s="94"/>
      <c r="D438" s="184"/>
      <c r="E438" s="94"/>
      <c r="F438" s="94"/>
      <c r="G438" s="385"/>
      <c r="H438" s="386"/>
      <c r="I438" s="201"/>
      <c r="J438" s="201"/>
      <c r="K438" s="201"/>
      <c r="L438" s="386"/>
      <c r="M438" s="388"/>
      <c r="N438" s="37"/>
      <c r="O438" s="389"/>
      <c r="P438" s="94"/>
      <c r="Q438" s="131"/>
      <c r="R438" s="165"/>
      <c r="S438" s="132"/>
      <c r="T438" s="201"/>
      <c r="U438" s="201"/>
      <c r="V438" s="95"/>
      <c r="X438" s="223"/>
      <c r="Y438" s="98"/>
      <c r="Z438" s="97"/>
      <c r="AA438" s="99"/>
    </row>
    <row r="439" spans="1:27" s="96" customFormat="1" hidden="1">
      <c r="A439" s="129"/>
      <c r="B439" s="94"/>
      <c r="C439" s="94"/>
      <c r="D439" s="184"/>
      <c r="E439" s="94"/>
      <c r="F439" s="94"/>
      <c r="G439" s="385"/>
      <c r="H439" s="386"/>
      <c r="I439" s="201"/>
      <c r="J439" s="201"/>
      <c r="K439" s="201"/>
      <c r="L439" s="386"/>
      <c r="M439" s="388"/>
      <c r="N439" s="37"/>
      <c r="O439" s="389"/>
      <c r="P439" s="94"/>
      <c r="Q439" s="131"/>
      <c r="R439" s="165"/>
      <c r="S439" s="132"/>
      <c r="T439" s="201"/>
      <c r="U439" s="201"/>
      <c r="V439" s="95"/>
      <c r="X439" s="223"/>
      <c r="Y439" s="98"/>
      <c r="Z439" s="97"/>
      <c r="AA439" s="99"/>
    </row>
    <row r="440" spans="1:27" s="96" customFormat="1" hidden="1">
      <c r="A440" s="129"/>
      <c r="B440" s="94"/>
      <c r="C440" s="94"/>
      <c r="D440" s="184"/>
      <c r="E440" s="94"/>
      <c r="F440" s="94"/>
      <c r="G440" s="385"/>
      <c r="H440" s="386"/>
      <c r="I440" s="201"/>
      <c r="J440" s="201"/>
      <c r="K440" s="201"/>
      <c r="L440" s="386"/>
      <c r="M440" s="388"/>
      <c r="N440" s="37"/>
      <c r="O440" s="389"/>
      <c r="P440" s="94"/>
      <c r="Q440" s="131"/>
      <c r="R440" s="165"/>
      <c r="S440" s="132"/>
      <c r="T440" s="201"/>
      <c r="U440" s="201"/>
      <c r="V440" s="95"/>
      <c r="X440" s="223"/>
      <c r="Y440" s="98"/>
      <c r="Z440" s="97"/>
      <c r="AA440" s="99"/>
    </row>
    <row r="441" spans="1:27" s="96" customFormat="1">
      <c r="A441" s="129"/>
      <c r="B441" s="94"/>
      <c r="C441" s="94"/>
      <c r="D441" s="184"/>
      <c r="E441" s="94"/>
      <c r="F441" s="94"/>
      <c r="G441" s="385"/>
      <c r="H441" s="386"/>
      <c r="I441" s="201"/>
      <c r="J441" s="201"/>
      <c r="K441" s="201"/>
      <c r="L441" s="386"/>
      <c r="M441" s="388"/>
      <c r="N441" s="37"/>
      <c r="O441" s="389"/>
      <c r="P441" s="94"/>
      <c r="Q441" s="131"/>
      <c r="R441" s="165"/>
      <c r="S441" s="132"/>
      <c r="T441" s="201"/>
      <c r="U441" s="201"/>
      <c r="V441" s="95"/>
      <c r="X441" s="223"/>
      <c r="Y441" s="98"/>
      <c r="Z441" s="97"/>
      <c r="AA441" s="99"/>
    </row>
    <row r="442" spans="1:27" s="96" customFormat="1" hidden="1">
      <c r="A442" s="129"/>
      <c r="B442" s="94"/>
      <c r="C442" s="94"/>
      <c r="D442" s="184"/>
      <c r="E442" s="94"/>
      <c r="F442" s="94"/>
      <c r="G442" s="385"/>
      <c r="H442" s="386"/>
      <c r="I442" s="201"/>
      <c r="J442" s="201"/>
      <c r="K442" s="386"/>
      <c r="L442" s="386"/>
      <c r="M442" s="388"/>
      <c r="N442" s="37"/>
      <c r="O442" s="389"/>
      <c r="P442" s="94"/>
      <c r="Q442" s="131"/>
      <c r="R442" s="165"/>
      <c r="S442" s="132"/>
      <c r="T442" s="201"/>
      <c r="U442" s="201"/>
      <c r="V442" s="95"/>
      <c r="X442" s="223"/>
      <c r="Y442" s="98"/>
      <c r="Z442" s="97"/>
      <c r="AA442" s="99"/>
    </row>
    <row r="443" spans="1:27" s="96" customFormat="1" hidden="1">
      <c r="A443" s="129"/>
      <c r="B443" s="94"/>
      <c r="C443" s="94"/>
      <c r="D443" s="184"/>
      <c r="E443" s="94"/>
      <c r="F443" s="94"/>
      <c r="G443" s="385"/>
      <c r="H443" s="386"/>
      <c r="I443" s="201"/>
      <c r="J443" s="201"/>
      <c r="K443" s="386"/>
      <c r="L443" s="386"/>
      <c r="M443" s="388"/>
      <c r="N443" s="37"/>
      <c r="O443" s="389"/>
      <c r="P443" s="94"/>
      <c r="Q443" s="131"/>
      <c r="R443" s="165"/>
      <c r="S443" s="132"/>
      <c r="T443" s="201"/>
      <c r="U443" s="201"/>
      <c r="V443" s="95"/>
      <c r="X443" s="223"/>
      <c r="Y443" s="98"/>
      <c r="Z443" s="97"/>
      <c r="AA443" s="99"/>
    </row>
    <row r="444" spans="1:27" s="96" customFormat="1" hidden="1">
      <c r="A444" s="129"/>
      <c r="B444" s="94"/>
      <c r="C444" s="94"/>
      <c r="D444" s="184"/>
      <c r="E444" s="94"/>
      <c r="F444" s="94"/>
      <c r="G444" s="385"/>
      <c r="H444" s="386"/>
      <c r="I444" s="201"/>
      <c r="J444" s="201"/>
      <c r="K444" s="386"/>
      <c r="L444" s="386"/>
      <c r="M444" s="388"/>
      <c r="N444" s="37"/>
      <c r="O444" s="389"/>
      <c r="P444" s="94"/>
      <c r="Q444" s="131"/>
      <c r="R444" s="165"/>
      <c r="S444" s="132"/>
      <c r="T444" s="201"/>
      <c r="U444" s="201"/>
      <c r="V444" s="95"/>
      <c r="X444" s="223"/>
      <c r="Y444" s="98"/>
      <c r="Z444" s="97"/>
      <c r="AA444" s="99"/>
    </row>
    <row r="445" spans="1:27" s="96" customFormat="1" hidden="1">
      <c r="A445" s="129"/>
      <c r="B445" s="94"/>
      <c r="C445" s="94"/>
      <c r="D445" s="184"/>
      <c r="E445" s="94"/>
      <c r="F445" s="94"/>
      <c r="G445" s="385"/>
      <c r="H445" s="386"/>
      <c r="I445" s="201"/>
      <c r="J445" s="201"/>
      <c r="K445" s="386"/>
      <c r="L445" s="386"/>
      <c r="M445" s="388"/>
      <c r="N445" s="37"/>
      <c r="O445" s="389"/>
      <c r="P445" s="94"/>
      <c r="Q445" s="131"/>
      <c r="R445" s="165"/>
      <c r="S445" s="132"/>
      <c r="T445" s="201"/>
      <c r="U445" s="201"/>
      <c r="V445" s="95"/>
      <c r="X445" s="223"/>
      <c r="Y445" s="98"/>
      <c r="Z445" s="97"/>
      <c r="AA445" s="99"/>
    </row>
    <row r="446" spans="1:27" s="96" customFormat="1" hidden="1">
      <c r="A446" s="129"/>
      <c r="B446" s="94"/>
      <c r="C446" s="94"/>
      <c r="D446" s="184"/>
      <c r="E446" s="94"/>
      <c r="F446" s="94"/>
      <c r="G446" s="385"/>
      <c r="H446" s="386"/>
      <c r="I446" s="201"/>
      <c r="J446" s="201"/>
      <c r="K446" s="386"/>
      <c r="L446" s="386"/>
      <c r="M446" s="388"/>
      <c r="N446" s="37"/>
      <c r="O446" s="389"/>
      <c r="P446" s="94"/>
      <c r="Q446" s="131"/>
      <c r="R446" s="165"/>
      <c r="S446" s="132"/>
      <c r="T446" s="201"/>
      <c r="U446" s="201"/>
      <c r="V446" s="95"/>
      <c r="X446" s="223"/>
      <c r="Y446" s="98"/>
      <c r="Z446" s="97"/>
      <c r="AA446" s="99"/>
    </row>
    <row r="447" spans="1:27" s="96" customFormat="1" hidden="1">
      <c r="A447" s="129"/>
      <c r="B447" s="94"/>
      <c r="C447" s="94"/>
      <c r="D447" s="184"/>
      <c r="E447" s="94"/>
      <c r="F447" s="94"/>
      <c r="G447" s="385"/>
      <c r="H447" s="386"/>
      <c r="I447" s="201"/>
      <c r="J447" s="201"/>
      <c r="K447" s="386"/>
      <c r="L447" s="386"/>
      <c r="M447" s="388"/>
      <c r="N447" s="37"/>
      <c r="O447" s="389"/>
      <c r="P447" s="94"/>
      <c r="Q447" s="131"/>
      <c r="R447" s="165"/>
      <c r="S447" s="132"/>
      <c r="T447" s="201"/>
      <c r="U447" s="201"/>
      <c r="V447" s="95"/>
      <c r="X447" s="223"/>
      <c r="Y447" s="98"/>
      <c r="Z447" s="97"/>
      <c r="AA447" s="99"/>
    </row>
    <row r="448" spans="1:27" s="96" customFormat="1" hidden="1">
      <c r="A448" s="129"/>
      <c r="B448" s="94"/>
      <c r="C448" s="94"/>
      <c r="D448" s="184"/>
      <c r="E448" s="94"/>
      <c r="F448" s="94"/>
      <c r="G448" s="385"/>
      <c r="H448" s="386"/>
      <c r="I448" s="201"/>
      <c r="J448" s="201"/>
      <c r="K448" s="386"/>
      <c r="L448" s="386"/>
      <c r="M448" s="388"/>
      <c r="N448" s="37"/>
      <c r="O448" s="389"/>
      <c r="P448" s="94"/>
      <c r="Q448" s="131"/>
      <c r="R448" s="165"/>
      <c r="S448" s="132"/>
      <c r="T448" s="201"/>
      <c r="U448" s="201"/>
      <c r="V448" s="95"/>
      <c r="X448" s="223"/>
      <c r="Y448" s="98"/>
      <c r="Z448" s="97"/>
      <c r="AA448" s="99"/>
    </row>
    <row r="449" spans="1:27" s="96" customFormat="1" hidden="1">
      <c r="A449" s="129"/>
      <c r="B449" s="94"/>
      <c r="C449" s="94"/>
      <c r="D449" s="184"/>
      <c r="E449" s="94"/>
      <c r="F449" s="94"/>
      <c r="G449" s="385"/>
      <c r="H449" s="386"/>
      <c r="I449" s="201"/>
      <c r="J449" s="201"/>
      <c r="K449" s="386"/>
      <c r="L449" s="386"/>
      <c r="M449" s="388"/>
      <c r="N449" s="37"/>
      <c r="O449" s="389"/>
      <c r="P449" s="94"/>
      <c r="Q449" s="131"/>
      <c r="R449" s="165"/>
      <c r="S449" s="132"/>
      <c r="T449" s="201"/>
      <c r="U449" s="201"/>
      <c r="V449" s="95"/>
      <c r="X449" s="223"/>
      <c r="Y449" s="98"/>
      <c r="Z449" s="97"/>
      <c r="AA449" s="99"/>
    </row>
    <row r="450" spans="1:27" s="96" customFormat="1" hidden="1">
      <c r="A450" s="129"/>
      <c r="B450" s="94"/>
      <c r="C450" s="94"/>
      <c r="D450" s="184"/>
      <c r="E450" s="94"/>
      <c r="F450" s="94"/>
      <c r="G450" s="385"/>
      <c r="H450" s="386"/>
      <c r="I450" s="201"/>
      <c r="J450" s="201"/>
      <c r="K450" s="386"/>
      <c r="L450" s="386"/>
      <c r="M450" s="388"/>
      <c r="N450" s="37"/>
      <c r="O450" s="389"/>
      <c r="P450" s="94"/>
      <c r="Q450" s="131"/>
      <c r="R450" s="165"/>
      <c r="S450" s="132"/>
      <c r="T450" s="201"/>
      <c r="U450" s="201"/>
      <c r="V450" s="95"/>
      <c r="X450" s="223"/>
      <c r="Y450" s="98"/>
      <c r="Z450" s="97"/>
      <c r="AA450" s="99"/>
    </row>
    <row r="451" spans="1:27" s="96" customFormat="1" hidden="1">
      <c r="A451" s="129"/>
      <c r="B451" s="94"/>
      <c r="C451" s="94"/>
      <c r="D451" s="184"/>
      <c r="E451" s="94"/>
      <c r="F451" s="94"/>
      <c r="G451" s="385"/>
      <c r="H451" s="386"/>
      <c r="I451" s="201"/>
      <c r="J451" s="201"/>
      <c r="K451" s="386"/>
      <c r="L451" s="386"/>
      <c r="M451" s="388"/>
      <c r="N451" s="37"/>
      <c r="O451" s="389"/>
      <c r="P451" s="94"/>
      <c r="Q451" s="131"/>
      <c r="R451" s="165"/>
      <c r="S451" s="132"/>
      <c r="T451" s="201"/>
      <c r="U451" s="201"/>
      <c r="V451" s="95"/>
      <c r="X451" s="223"/>
      <c r="Y451" s="98"/>
      <c r="Z451" s="97"/>
      <c r="AA451" s="99"/>
    </row>
    <row r="452" spans="1:27" s="98" customFormat="1" hidden="1">
      <c r="A452" s="129"/>
      <c r="B452" s="94"/>
      <c r="C452" s="94"/>
      <c r="D452" s="184"/>
      <c r="E452" s="94"/>
      <c r="F452" s="94"/>
      <c r="G452" s="385"/>
      <c r="H452" s="386"/>
      <c r="I452" s="201"/>
      <c r="J452" s="201"/>
      <c r="K452" s="386"/>
      <c r="L452" s="386"/>
      <c r="M452" s="388"/>
      <c r="N452" s="37"/>
      <c r="O452" s="389"/>
      <c r="P452" s="94"/>
      <c r="Q452" s="131"/>
      <c r="R452" s="165"/>
      <c r="S452" s="132"/>
      <c r="T452" s="201"/>
      <c r="U452" s="201"/>
      <c r="V452" s="95"/>
      <c r="W452" s="96"/>
      <c r="X452" s="223"/>
      <c r="Z452" s="97"/>
      <c r="AA452" s="99"/>
    </row>
    <row r="453" spans="1:27" s="98" customFormat="1" hidden="1">
      <c r="A453" s="129"/>
      <c r="B453" s="94"/>
      <c r="C453" s="94"/>
      <c r="D453" s="184"/>
      <c r="E453" s="94"/>
      <c r="F453" s="94"/>
      <c r="G453" s="385"/>
      <c r="H453" s="386"/>
      <c r="I453" s="201"/>
      <c r="J453" s="201"/>
      <c r="K453" s="386"/>
      <c r="L453" s="386"/>
      <c r="M453" s="388"/>
      <c r="N453" s="37"/>
      <c r="O453" s="389"/>
      <c r="P453" s="94"/>
      <c r="Q453" s="131"/>
      <c r="R453" s="165"/>
      <c r="S453" s="132"/>
      <c r="T453" s="201"/>
      <c r="U453" s="201"/>
      <c r="V453" s="95"/>
      <c r="W453" s="96"/>
      <c r="X453" s="223"/>
      <c r="Z453" s="97"/>
      <c r="AA453" s="99"/>
    </row>
    <row r="454" spans="1:27" s="98" customFormat="1" hidden="1">
      <c r="A454" s="129"/>
      <c r="B454" s="94"/>
      <c r="C454" s="94"/>
      <c r="D454" s="184"/>
      <c r="E454" s="94"/>
      <c r="F454" s="94"/>
      <c r="G454" s="385"/>
      <c r="H454" s="386"/>
      <c r="I454" s="201"/>
      <c r="J454" s="201"/>
      <c r="K454" s="386"/>
      <c r="L454" s="386"/>
      <c r="M454" s="388"/>
      <c r="N454" s="37"/>
      <c r="O454" s="389"/>
      <c r="P454" s="94"/>
      <c r="Q454" s="131"/>
      <c r="R454" s="165"/>
      <c r="S454" s="132"/>
      <c r="T454" s="201"/>
      <c r="U454" s="201"/>
      <c r="V454" s="95"/>
      <c r="W454" s="96"/>
      <c r="X454" s="223"/>
      <c r="Z454" s="97"/>
      <c r="AA454" s="99"/>
    </row>
    <row r="455" spans="1:27" s="98" customFormat="1" hidden="1">
      <c r="A455" s="129"/>
      <c r="B455" s="94"/>
      <c r="C455" s="94"/>
      <c r="D455" s="184"/>
      <c r="E455" s="94"/>
      <c r="F455" s="94"/>
      <c r="G455" s="385"/>
      <c r="H455" s="386"/>
      <c r="I455" s="201"/>
      <c r="J455" s="201"/>
      <c r="K455" s="386"/>
      <c r="L455" s="386"/>
      <c r="M455" s="388"/>
      <c r="N455" s="37"/>
      <c r="O455" s="389"/>
      <c r="P455" s="94"/>
      <c r="Q455" s="131"/>
      <c r="R455" s="165"/>
      <c r="S455" s="132"/>
      <c r="T455" s="201"/>
      <c r="U455" s="201"/>
      <c r="V455" s="95"/>
      <c r="W455" s="96"/>
      <c r="X455" s="223"/>
      <c r="Z455" s="97"/>
      <c r="AA455" s="99"/>
    </row>
    <row r="456" spans="1:27" s="98" customFormat="1" hidden="1">
      <c r="A456" s="129"/>
      <c r="B456" s="94"/>
      <c r="C456" s="94"/>
      <c r="D456" s="184"/>
      <c r="E456" s="94"/>
      <c r="F456" s="94"/>
      <c r="G456" s="385"/>
      <c r="H456" s="386"/>
      <c r="I456" s="201"/>
      <c r="J456" s="201"/>
      <c r="K456" s="386"/>
      <c r="L456" s="386"/>
      <c r="M456" s="388"/>
      <c r="N456" s="37"/>
      <c r="O456" s="389"/>
      <c r="P456" s="94"/>
      <c r="Q456" s="131"/>
      <c r="R456" s="165"/>
      <c r="S456" s="132"/>
      <c r="T456" s="201"/>
      <c r="U456" s="201"/>
      <c r="V456" s="95"/>
      <c r="W456" s="96"/>
      <c r="X456" s="223"/>
      <c r="Z456" s="97"/>
      <c r="AA456" s="99"/>
    </row>
    <row r="457" spans="1:27" s="98" customFormat="1" hidden="1">
      <c r="A457" s="129"/>
      <c r="B457" s="94"/>
      <c r="C457" s="94"/>
      <c r="D457" s="184"/>
      <c r="E457" s="94"/>
      <c r="F457" s="94"/>
      <c r="G457" s="385"/>
      <c r="H457" s="386"/>
      <c r="I457" s="201"/>
      <c r="J457" s="201"/>
      <c r="K457" s="201"/>
      <c r="L457" s="386"/>
      <c r="M457" s="388"/>
      <c r="N457" s="37"/>
      <c r="O457" s="389"/>
      <c r="P457" s="94"/>
      <c r="Q457" s="131"/>
      <c r="R457" s="165"/>
      <c r="S457" s="132"/>
      <c r="T457" s="201"/>
      <c r="U457" s="201"/>
      <c r="V457" s="95"/>
      <c r="W457" s="96"/>
      <c r="X457" s="223"/>
      <c r="Z457" s="97"/>
      <c r="AA457" s="99"/>
    </row>
    <row r="458" spans="1:27" s="98" customFormat="1" hidden="1">
      <c r="A458" s="129"/>
      <c r="B458" s="94"/>
      <c r="C458" s="94"/>
      <c r="D458" s="184"/>
      <c r="E458" s="94"/>
      <c r="F458" s="94"/>
      <c r="G458" s="385"/>
      <c r="H458" s="386"/>
      <c r="I458" s="201"/>
      <c r="J458" s="201"/>
      <c r="K458" s="201"/>
      <c r="L458" s="386"/>
      <c r="M458" s="388"/>
      <c r="N458" s="37"/>
      <c r="O458" s="389"/>
      <c r="P458" s="94"/>
      <c r="Q458" s="131"/>
      <c r="R458" s="165"/>
      <c r="S458" s="132"/>
      <c r="T458" s="201"/>
      <c r="U458" s="201"/>
      <c r="V458" s="95"/>
      <c r="W458" s="96"/>
      <c r="X458" s="223"/>
      <c r="Z458" s="97"/>
      <c r="AA458" s="99"/>
    </row>
    <row r="459" spans="1:27" s="98" customFormat="1">
      <c r="A459" s="129"/>
      <c r="B459" s="94"/>
      <c r="C459" s="94"/>
      <c r="D459" s="184"/>
      <c r="E459" s="94"/>
      <c r="F459" s="94"/>
      <c r="G459" s="385"/>
      <c r="H459" s="386"/>
      <c r="I459" s="201"/>
      <c r="J459" s="201"/>
      <c r="K459" s="201"/>
      <c r="L459" s="386"/>
      <c r="M459" s="388"/>
      <c r="N459" s="37"/>
      <c r="O459" s="389"/>
      <c r="P459" s="94"/>
      <c r="Q459" s="131"/>
      <c r="R459" s="165"/>
      <c r="S459" s="132"/>
      <c r="T459" s="131"/>
      <c r="U459" s="131"/>
      <c r="V459" s="95"/>
      <c r="W459" s="96"/>
      <c r="X459" s="223"/>
      <c r="Z459" s="97"/>
      <c r="AA459" s="99"/>
    </row>
    <row r="460" spans="1:27" s="98" customFormat="1">
      <c r="A460" s="129"/>
      <c r="B460" s="94"/>
      <c r="C460" s="94"/>
      <c r="D460" s="184"/>
      <c r="E460" s="94"/>
      <c r="F460" s="94"/>
      <c r="G460" s="385"/>
      <c r="H460" s="386"/>
      <c r="I460" s="201"/>
      <c r="J460" s="201"/>
      <c r="K460" s="201"/>
      <c r="L460" s="386"/>
      <c r="M460" s="388"/>
      <c r="N460" s="37"/>
      <c r="O460" s="389"/>
      <c r="P460" s="94"/>
      <c r="Q460" s="131"/>
      <c r="R460" s="165"/>
      <c r="S460" s="132"/>
      <c r="T460" s="131"/>
      <c r="U460" s="131"/>
      <c r="V460" s="95"/>
      <c r="W460" s="96"/>
      <c r="X460" s="223"/>
      <c r="Z460" s="97"/>
      <c r="AA460" s="99"/>
    </row>
    <row r="461" spans="1:27" s="98" customFormat="1">
      <c r="A461" s="129"/>
      <c r="B461" s="94"/>
      <c r="C461" s="94"/>
      <c r="D461" s="184"/>
      <c r="E461" s="94"/>
      <c r="F461" s="94"/>
      <c r="G461" s="385"/>
      <c r="H461" s="386"/>
      <c r="I461" s="201"/>
      <c r="J461" s="201"/>
      <c r="K461" s="386"/>
      <c r="L461" s="386"/>
      <c r="M461" s="388"/>
      <c r="N461" s="37"/>
      <c r="O461" s="389"/>
      <c r="P461" s="94"/>
      <c r="Q461" s="131"/>
      <c r="R461" s="165"/>
      <c r="S461" s="132"/>
      <c r="T461" s="131"/>
      <c r="U461" s="131"/>
      <c r="V461" s="95"/>
      <c r="W461" s="96"/>
      <c r="X461" s="223"/>
      <c r="Z461" s="97"/>
      <c r="AA461" s="99"/>
    </row>
    <row r="462" spans="1:27" s="98" customFormat="1">
      <c r="A462" s="129"/>
      <c r="B462" s="94"/>
      <c r="C462" s="94"/>
      <c r="D462" s="184"/>
      <c r="E462" s="94"/>
      <c r="F462" s="94"/>
      <c r="G462" s="385"/>
      <c r="H462" s="386"/>
      <c r="I462" s="201"/>
      <c r="J462" s="201"/>
      <c r="K462" s="386"/>
      <c r="L462" s="386"/>
      <c r="M462" s="388"/>
      <c r="N462" s="37"/>
      <c r="O462" s="389"/>
      <c r="P462" s="94"/>
      <c r="Q462" s="131"/>
      <c r="R462" s="165"/>
      <c r="S462" s="132"/>
      <c r="T462" s="131"/>
      <c r="U462" s="131"/>
      <c r="V462" s="95"/>
      <c r="W462" s="96"/>
      <c r="X462" s="223"/>
      <c r="Z462" s="97"/>
      <c r="AA462" s="99"/>
    </row>
    <row r="463" spans="1:27" s="98" customFormat="1">
      <c r="A463" s="129"/>
      <c r="B463" s="94"/>
      <c r="C463" s="94"/>
      <c r="D463" s="184"/>
      <c r="E463" s="94"/>
      <c r="F463" s="94"/>
      <c r="G463" s="385"/>
      <c r="H463" s="386"/>
      <c r="I463" s="201"/>
      <c r="J463" s="201"/>
      <c r="K463" s="386"/>
      <c r="L463" s="386"/>
      <c r="M463" s="388"/>
      <c r="N463" s="37"/>
      <c r="O463" s="389"/>
      <c r="P463" s="94"/>
      <c r="Q463" s="131"/>
      <c r="R463" s="165"/>
      <c r="S463" s="132"/>
      <c r="T463" s="201"/>
      <c r="U463" s="201"/>
      <c r="V463" s="95"/>
      <c r="W463" s="96"/>
      <c r="X463" s="223"/>
      <c r="Z463" s="97"/>
      <c r="AA463" s="99"/>
    </row>
    <row r="464" spans="1:27" s="98" customFormat="1">
      <c r="A464" s="129"/>
      <c r="B464" s="94"/>
      <c r="C464" s="94"/>
      <c r="D464" s="184"/>
      <c r="E464" s="94"/>
      <c r="F464" s="94"/>
      <c r="G464" s="385"/>
      <c r="H464" s="386"/>
      <c r="I464" s="201"/>
      <c r="J464" s="201"/>
      <c r="K464" s="386"/>
      <c r="L464" s="386"/>
      <c r="M464" s="388"/>
      <c r="N464" s="37"/>
      <c r="O464" s="389"/>
      <c r="P464" s="94"/>
      <c r="Q464" s="131"/>
      <c r="R464" s="165"/>
      <c r="S464" s="132"/>
      <c r="T464" s="201"/>
      <c r="U464" s="201"/>
      <c r="V464" s="95"/>
      <c r="W464" s="96"/>
      <c r="X464" s="223"/>
      <c r="Z464" s="97"/>
      <c r="AA464" s="99"/>
    </row>
    <row r="465" spans="1:27" s="98" customFormat="1">
      <c r="A465" s="129"/>
      <c r="B465" s="94"/>
      <c r="C465" s="94"/>
      <c r="D465" s="184"/>
      <c r="E465" s="94"/>
      <c r="F465" s="94"/>
      <c r="G465" s="385"/>
      <c r="H465" s="386"/>
      <c r="I465" s="201"/>
      <c r="J465" s="201"/>
      <c r="K465" s="386"/>
      <c r="L465" s="386"/>
      <c r="M465" s="388"/>
      <c r="N465" s="37"/>
      <c r="O465" s="389"/>
      <c r="P465" s="94"/>
      <c r="Q465" s="131"/>
      <c r="R465" s="165"/>
      <c r="S465" s="132"/>
      <c r="T465" s="201"/>
      <c r="U465" s="201"/>
      <c r="V465" s="95"/>
      <c r="W465" s="96"/>
      <c r="X465" s="223"/>
      <c r="Z465" s="97"/>
      <c r="AA465" s="99"/>
    </row>
    <row r="466" spans="1:27" s="98" customFormat="1">
      <c r="A466" s="129"/>
      <c r="B466" s="94"/>
      <c r="C466" s="94"/>
      <c r="D466" s="184"/>
      <c r="E466" s="94"/>
      <c r="F466" s="94"/>
      <c r="G466" s="385"/>
      <c r="H466" s="386"/>
      <c r="I466" s="201"/>
      <c r="J466" s="201"/>
      <c r="K466" s="386"/>
      <c r="L466" s="386"/>
      <c r="M466" s="388"/>
      <c r="N466" s="37"/>
      <c r="O466" s="389"/>
      <c r="P466" s="94"/>
      <c r="Q466" s="131"/>
      <c r="R466" s="165"/>
      <c r="S466" s="132"/>
      <c r="T466" s="201"/>
      <c r="U466" s="201"/>
      <c r="V466" s="95"/>
      <c r="W466" s="96"/>
      <c r="X466" s="223"/>
      <c r="Z466" s="97"/>
      <c r="AA466" s="99"/>
    </row>
    <row r="467" spans="1:27" s="98" customFormat="1">
      <c r="A467" s="129"/>
      <c r="B467" s="94"/>
      <c r="C467" s="94"/>
      <c r="D467" s="184"/>
      <c r="E467" s="94"/>
      <c r="F467" s="94"/>
      <c r="G467" s="385"/>
      <c r="H467" s="386"/>
      <c r="I467" s="201"/>
      <c r="J467" s="201"/>
      <c r="K467" s="386"/>
      <c r="L467" s="386"/>
      <c r="M467" s="388"/>
      <c r="N467" s="37"/>
      <c r="O467" s="389"/>
      <c r="P467" s="94"/>
      <c r="Q467" s="131"/>
      <c r="R467" s="165"/>
      <c r="S467" s="132"/>
      <c r="T467" s="201"/>
      <c r="U467" s="201"/>
      <c r="V467" s="95"/>
      <c r="W467" s="96"/>
      <c r="X467" s="223"/>
      <c r="Z467" s="97"/>
      <c r="AA467" s="99"/>
    </row>
    <row r="468" spans="1:27" s="98" customFormat="1">
      <c r="A468" s="129"/>
      <c r="B468" s="94"/>
      <c r="C468" s="94"/>
      <c r="D468" s="184"/>
      <c r="E468" s="94"/>
      <c r="F468" s="94"/>
      <c r="G468" s="385"/>
      <c r="H468" s="386"/>
      <c r="I468" s="201"/>
      <c r="J468" s="201"/>
      <c r="K468" s="386"/>
      <c r="L468" s="386"/>
      <c r="M468" s="388"/>
      <c r="N468" s="37"/>
      <c r="O468" s="389"/>
      <c r="P468" s="94"/>
      <c r="Q468" s="131"/>
      <c r="R468" s="165"/>
      <c r="S468" s="132"/>
      <c r="T468" s="201"/>
      <c r="U468" s="201"/>
      <c r="V468" s="95"/>
      <c r="W468" s="96"/>
      <c r="X468" s="223"/>
      <c r="Z468" s="97"/>
      <c r="AA468" s="99"/>
    </row>
    <row r="469" spans="1:27">
      <c r="A469" s="129"/>
      <c r="B469" s="94"/>
      <c r="C469" s="94"/>
      <c r="D469" s="184"/>
      <c r="E469" s="94"/>
      <c r="F469" s="94"/>
      <c r="G469" s="385"/>
      <c r="H469" s="386"/>
      <c r="I469" s="201"/>
      <c r="J469" s="201"/>
      <c r="K469" s="386"/>
      <c r="L469" s="386"/>
      <c r="M469" s="388"/>
      <c r="N469" s="37"/>
      <c r="O469" s="389"/>
      <c r="P469" s="94"/>
      <c r="Q469" s="131"/>
      <c r="T469" s="41"/>
      <c r="U469" s="41"/>
    </row>
    <row r="470" spans="1:27" ht="18.75" customHeight="1">
      <c r="A470" s="129"/>
      <c r="B470" s="94"/>
      <c r="C470" s="94"/>
      <c r="D470" s="184"/>
      <c r="E470" s="94"/>
      <c r="F470" s="94"/>
      <c r="G470" s="385"/>
      <c r="H470" s="386"/>
      <c r="I470" s="201"/>
      <c r="J470" s="201"/>
      <c r="K470" s="386"/>
      <c r="L470" s="386"/>
      <c r="M470" s="388"/>
      <c r="N470" s="37"/>
      <c r="O470" s="389"/>
      <c r="P470" s="94"/>
      <c r="Q470" s="131"/>
      <c r="T470" s="41"/>
      <c r="U470" s="41"/>
    </row>
    <row r="471" spans="1:27">
      <c r="A471" s="129"/>
      <c r="B471" s="94"/>
      <c r="C471" s="94"/>
      <c r="D471" s="184"/>
      <c r="E471" s="94"/>
      <c r="F471" s="94"/>
      <c r="G471" s="385"/>
      <c r="H471" s="386"/>
      <c r="I471" s="201"/>
      <c r="J471" s="201"/>
      <c r="K471" s="386"/>
      <c r="L471" s="386"/>
      <c r="M471" s="388"/>
      <c r="N471" s="37"/>
      <c r="O471" s="389"/>
      <c r="P471" s="94"/>
      <c r="Q471" s="131"/>
      <c r="T471" s="41"/>
      <c r="U471" s="41"/>
    </row>
    <row r="472" spans="1:27">
      <c r="A472" s="129"/>
      <c r="B472" s="94"/>
      <c r="C472" s="94"/>
      <c r="D472" s="184"/>
      <c r="E472" s="94"/>
      <c r="F472" s="94"/>
      <c r="G472" s="385"/>
      <c r="H472" s="386"/>
      <c r="I472" s="201"/>
      <c r="J472" s="201"/>
      <c r="K472" s="386"/>
      <c r="L472" s="386"/>
      <c r="M472" s="388"/>
      <c r="N472" s="37"/>
      <c r="O472" s="389"/>
      <c r="P472" s="94"/>
      <c r="Q472" s="131"/>
      <c r="T472" s="41"/>
      <c r="U472" s="41"/>
    </row>
    <row r="473" spans="1:27">
      <c r="A473" s="129"/>
      <c r="B473" s="94"/>
      <c r="C473" s="94"/>
      <c r="D473" s="184"/>
      <c r="E473" s="94"/>
      <c r="F473" s="94"/>
      <c r="G473" s="385"/>
      <c r="H473" s="386"/>
      <c r="I473" s="201"/>
      <c r="J473" s="201"/>
      <c r="K473" s="386"/>
      <c r="L473" s="386"/>
      <c r="M473" s="388"/>
      <c r="N473" s="37"/>
      <c r="O473" s="389"/>
      <c r="P473" s="94"/>
      <c r="Q473" s="131"/>
      <c r="T473" s="41"/>
      <c r="U473" s="41"/>
    </row>
    <row r="474" spans="1:27">
      <c r="A474" s="129"/>
      <c r="B474" s="94"/>
      <c r="C474" s="94"/>
      <c r="D474" s="184"/>
      <c r="E474" s="94"/>
      <c r="F474" s="94"/>
      <c r="G474" s="385"/>
      <c r="H474" s="386"/>
      <c r="I474" s="201"/>
      <c r="J474" s="201"/>
      <c r="K474" s="386"/>
      <c r="L474" s="386"/>
      <c r="M474" s="388"/>
      <c r="N474" s="37"/>
      <c r="O474" s="389"/>
      <c r="P474" s="94"/>
      <c r="Q474" s="131"/>
      <c r="T474" s="41"/>
      <c r="U474" s="41"/>
    </row>
    <row r="475" spans="1:27">
      <c r="A475" s="129"/>
      <c r="B475" s="94"/>
      <c r="C475" s="94"/>
      <c r="D475" s="184"/>
      <c r="E475" s="94"/>
      <c r="F475" s="94"/>
      <c r="G475" s="385"/>
      <c r="H475" s="386"/>
      <c r="I475" s="201"/>
      <c r="J475" s="201"/>
      <c r="K475" s="386"/>
      <c r="L475" s="386"/>
      <c r="M475" s="388"/>
      <c r="N475" s="37"/>
      <c r="O475" s="389"/>
      <c r="P475" s="94"/>
      <c r="Q475" s="131"/>
      <c r="T475" s="41"/>
      <c r="U475" s="41"/>
    </row>
    <row r="476" spans="1:27">
      <c r="A476" s="129"/>
      <c r="B476" s="94"/>
      <c r="C476" s="94"/>
      <c r="D476" s="184"/>
      <c r="E476" s="94"/>
      <c r="F476" s="94"/>
      <c r="G476" s="385"/>
      <c r="H476" s="386"/>
      <c r="I476" s="201"/>
      <c r="J476" s="201"/>
      <c r="K476" s="386"/>
      <c r="L476" s="386"/>
      <c r="M476" s="388"/>
      <c r="N476" s="37"/>
      <c r="O476" s="389"/>
      <c r="P476" s="94"/>
      <c r="Q476" s="131"/>
      <c r="T476" s="52"/>
      <c r="U476" s="52"/>
      <c r="X476" s="225"/>
    </row>
    <row r="477" spans="1:27">
      <c r="A477" s="129"/>
      <c r="B477" s="94"/>
      <c r="C477" s="94"/>
      <c r="D477" s="184"/>
      <c r="E477" s="94"/>
      <c r="F477" s="94"/>
      <c r="G477" s="385"/>
      <c r="H477" s="386"/>
      <c r="I477" s="201"/>
      <c r="J477" s="201"/>
      <c r="K477" s="386"/>
      <c r="L477" s="386"/>
      <c r="M477" s="388"/>
      <c r="N477" s="37"/>
      <c r="O477" s="389"/>
      <c r="P477" s="94"/>
      <c r="Q477" s="131"/>
      <c r="T477" s="52"/>
      <c r="U477" s="52"/>
    </row>
    <row r="478" spans="1:27">
      <c r="A478" s="129"/>
      <c r="B478" s="94"/>
      <c r="C478" s="94"/>
      <c r="D478" s="184"/>
      <c r="E478" s="94"/>
      <c r="F478" s="94"/>
      <c r="G478" s="385"/>
      <c r="H478" s="386"/>
      <c r="I478" s="201"/>
      <c r="J478" s="201"/>
      <c r="K478" s="386"/>
      <c r="L478" s="386"/>
      <c r="M478" s="388"/>
      <c r="N478" s="37"/>
      <c r="O478" s="389"/>
      <c r="P478" s="94"/>
      <c r="Q478" s="131"/>
      <c r="T478" s="52"/>
      <c r="U478" s="52"/>
    </row>
    <row r="479" spans="1:27">
      <c r="A479" s="129"/>
      <c r="B479" s="147"/>
      <c r="C479" s="94"/>
      <c r="D479" s="184"/>
      <c r="E479" s="94"/>
      <c r="F479" s="147"/>
      <c r="G479" s="47"/>
      <c r="H479" s="130"/>
      <c r="I479" s="41"/>
      <c r="J479" s="41"/>
      <c r="K479" s="41"/>
      <c r="L479" s="130"/>
      <c r="M479" s="84"/>
      <c r="N479" s="37"/>
      <c r="O479" s="38"/>
      <c r="P479" s="94"/>
      <c r="Q479" s="131"/>
      <c r="T479" s="52"/>
      <c r="U479" s="52"/>
    </row>
    <row r="480" spans="1:27">
      <c r="A480" s="147"/>
      <c r="B480" s="76"/>
      <c r="C480" s="76"/>
      <c r="D480" s="183"/>
      <c r="E480" s="146"/>
      <c r="F480" s="146"/>
      <c r="G480" s="146"/>
      <c r="H480" s="221"/>
      <c r="I480" s="222"/>
      <c r="J480" s="222"/>
      <c r="K480" s="221"/>
      <c r="L480" s="221"/>
      <c r="M480" s="221"/>
      <c r="N480" s="221"/>
      <c r="O480" s="221"/>
      <c r="P480" s="221"/>
      <c r="Q480" s="221"/>
      <c r="R480" s="222"/>
      <c r="S480" s="40"/>
      <c r="T480" s="52"/>
      <c r="U480" s="52"/>
    </row>
    <row r="481" spans="1:21">
      <c r="A481" s="147"/>
      <c r="B481" s="76"/>
      <c r="C481" s="76"/>
      <c r="D481" s="183"/>
      <c r="E481" s="416"/>
      <c r="F481" s="146"/>
      <c r="G481" s="146"/>
      <c r="H481" s="146"/>
      <c r="I481" s="146"/>
      <c r="J481" s="424"/>
      <c r="K481" s="424"/>
      <c r="L481" s="94"/>
      <c r="M481" s="137"/>
      <c r="N481" s="37"/>
      <c r="O481" s="38"/>
      <c r="P481" s="36"/>
      <c r="Q481" s="34"/>
      <c r="R481" s="76"/>
      <c r="S481" s="40"/>
      <c r="T481" s="52"/>
      <c r="U481" s="52"/>
    </row>
    <row r="482" spans="1:21">
      <c r="A482" s="147"/>
      <c r="B482" s="76"/>
      <c r="C482" s="76"/>
      <c r="D482" s="184"/>
      <c r="E482" s="94"/>
      <c r="F482" s="94"/>
      <c r="G482" s="94"/>
      <c r="H482" s="94"/>
      <c r="I482" s="94"/>
      <c r="J482" s="94"/>
      <c r="K482" s="94"/>
      <c r="L482" s="94"/>
      <c r="M482" s="94"/>
      <c r="N482" s="37"/>
      <c r="O482" s="38"/>
      <c r="P482" s="147"/>
      <c r="Q482" s="76"/>
      <c r="R482" s="76"/>
      <c r="S482" s="47"/>
      <c r="T482" s="52"/>
      <c r="U482" s="52"/>
    </row>
    <row r="483" spans="1:21">
      <c r="A483" s="147"/>
      <c r="B483" s="76"/>
      <c r="C483" s="76"/>
      <c r="D483" s="184"/>
      <c r="E483" s="94"/>
      <c r="F483" s="94"/>
      <c r="G483" s="94"/>
      <c r="H483" s="94"/>
      <c r="I483" s="94"/>
      <c r="J483" s="94"/>
      <c r="K483" s="94"/>
      <c r="L483" s="94"/>
      <c r="M483" s="94"/>
      <c r="N483" s="37"/>
      <c r="O483" s="38"/>
      <c r="P483" s="147"/>
      <c r="Q483" s="76"/>
      <c r="R483" s="76"/>
      <c r="S483" s="47"/>
      <c r="T483" s="52"/>
      <c r="U483" s="52"/>
    </row>
    <row r="484" spans="1:21">
      <c r="A484" s="147"/>
      <c r="B484" s="76"/>
      <c r="C484" s="76"/>
      <c r="D484" s="184"/>
      <c r="E484" s="94"/>
      <c r="F484" s="94"/>
      <c r="G484" s="94"/>
      <c r="H484" s="94"/>
      <c r="I484" s="94"/>
      <c r="J484" s="94"/>
      <c r="K484" s="94"/>
      <c r="L484" s="94"/>
      <c r="M484" s="94"/>
      <c r="N484" s="37"/>
      <c r="O484" s="38"/>
      <c r="P484" s="147"/>
      <c r="Q484" s="76"/>
      <c r="R484" s="76"/>
      <c r="S484" s="47"/>
      <c r="T484" s="52"/>
      <c r="U484" s="52"/>
    </row>
    <row r="485" spans="1:21">
      <c r="A485" s="147"/>
      <c r="B485" s="76"/>
      <c r="C485" s="76"/>
      <c r="D485" s="184"/>
      <c r="E485" s="94"/>
      <c r="F485" s="94"/>
      <c r="G485" s="94"/>
      <c r="H485" s="94"/>
      <c r="I485" s="94"/>
      <c r="J485" s="94"/>
      <c r="K485" s="94"/>
      <c r="L485" s="94"/>
      <c r="M485" s="94"/>
      <c r="N485" s="37"/>
      <c r="O485" s="38"/>
      <c r="P485" s="147"/>
      <c r="Q485" s="76"/>
      <c r="R485" s="76"/>
      <c r="S485" s="47"/>
      <c r="T485" s="52"/>
      <c r="U485" s="52"/>
    </row>
    <row r="486" spans="1:21">
      <c r="A486" s="147"/>
      <c r="B486" s="76"/>
      <c r="C486" s="76"/>
      <c r="D486" s="184"/>
      <c r="E486" s="94"/>
      <c r="F486" s="94"/>
      <c r="G486" s="94"/>
      <c r="H486" s="94"/>
      <c r="I486" s="94"/>
      <c r="J486" s="94"/>
      <c r="K486" s="94"/>
      <c r="L486" s="94"/>
      <c r="M486" s="94"/>
      <c r="N486" s="37"/>
      <c r="O486" s="38"/>
      <c r="P486" s="147"/>
      <c r="Q486" s="76"/>
      <c r="R486" s="76"/>
      <c r="S486" s="47"/>
      <c r="T486" s="52"/>
      <c r="U486" s="52"/>
    </row>
    <row r="487" spans="1:21">
      <c r="A487" s="147"/>
      <c r="B487" s="76"/>
      <c r="C487" s="76"/>
      <c r="D487" s="184"/>
      <c r="E487" s="94"/>
      <c r="F487" s="94"/>
      <c r="G487" s="94"/>
      <c r="H487" s="94"/>
      <c r="I487" s="94"/>
      <c r="J487" s="94"/>
      <c r="K487" s="94"/>
      <c r="L487" s="94"/>
      <c r="M487" s="94"/>
      <c r="N487" s="37"/>
      <c r="O487" s="38"/>
      <c r="P487" s="147"/>
      <c r="Q487" s="76"/>
      <c r="R487" s="76"/>
      <c r="S487" s="47"/>
      <c r="T487" s="52"/>
      <c r="U487" s="52"/>
    </row>
    <row r="488" spans="1:21">
      <c r="A488" s="147"/>
      <c r="B488" s="76"/>
      <c r="C488" s="76"/>
      <c r="D488" s="184"/>
      <c r="E488" s="94"/>
      <c r="F488" s="94"/>
      <c r="G488" s="94"/>
      <c r="H488" s="94"/>
      <c r="I488" s="94"/>
      <c r="J488" s="94"/>
      <c r="K488" s="94"/>
      <c r="L488" s="94"/>
      <c r="M488" s="94"/>
      <c r="N488" s="37"/>
      <c r="O488" s="38"/>
      <c r="P488" s="147"/>
      <c r="Q488" s="76"/>
      <c r="R488" s="76"/>
      <c r="S488" s="47"/>
      <c r="T488" s="52"/>
      <c r="U488" s="52"/>
    </row>
    <row r="489" spans="1:21">
      <c r="A489" s="147"/>
      <c r="B489" s="76"/>
      <c r="C489" s="76"/>
      <c r="D489" s="184"/>
      <c r="E489" s="94"/>
      <c r="F489" s="94"/>
      <c r="G489" s="94"/>
      <c r="H489" s="94"/>
      <c r="I489" s="94"/>
      <c r="J489" s="94"/>
      <c r="K489" s="94"/>
      <c r="L489" s="94"/>
      <c r="M489" s="94"/>
      <c r="N489" s="37"/>
      <c r="O489" s="38"/>
      <c r="P489" s="147"/>
      <c r="Q489" s="76"/>
      <c r="R489" s="76"/>
      <c r="S489" s="47"/>
      <c r="T489" s="52"/>
      <c r="U489" s="52"/>
    </row>
    <row r="490" spans="1:21">
      <c r="A490" s="147"/>
      <c r="B490" s="76"/>
      <c r="C490" s="76"/>
      <c r="D490" s="184"/>
      <c r="E490" s="94"/>
      <c r="F490" s="94"/>
      <c r="G490" s="94"/>
      <c r="H490" s="94"/>
      <c r="I490" s="94"/>
      <c r="J490" s="94"/>
      <c r="K490" s="94"/>
      <c r="L490" s="94"/>
      <c r="M490" s="94"/>
      <c r="N490" s="37"/>
      <c r="O490" s="38"/>
      <c r="P490" s="147"/>
      <c r="Q490" s="76"/>
      <c r="R490" s="76"/>
      <c r="S490" s="47"/>
      <c r="T490" s="52"/>
      <c r="U490" s="52"/>
    </row>
    <row r="491" spans="1:21">
      <c r="A491" s="147"/>
      <c r="B491" s="76"/>
      <c r="C491" s="76"/>
      <c r="D491" s="184"/>
      <c r="E491" s="94"/>
      <c r="F491" s="94"/>
      <c r="G491" s="94"/>
      <c r="H491" s="94"/>
      <c r="I491" s="94"/>
      <c r="J491" s="94"/>
      <c r="K491" s="94"/>
      <c r="L491" s="94"/>
      <c r="M491" s="94"/>
      <c r="N491" s="37"/>
      <c r="O491" s="38"/>
      <c r="P491" s="147"/>
      <c r="Q491" s="76"/>
      <c r="R491" s="76"/>
      <c r="S491" s="47"/>
      <c r="T491" s="52"/>
      <c r="U491" s="52"/>
    </row>
    <row r="492" spans="1:21">
      <c r="A492" s="147"/>
      <c r="B492" s="76"/>
      <c r="C492" s="76"/>
      <c r="D492" s="184"/>
      <c r="E492" s="94"/>
      <c r="F492" s="94"/>
      <c r="G492" s="94"/>
      <c r="H492" s="94"/>
      <c r="I492" s="94"/>
      <c r="J492" s="94"/>
      <c r="K492" s="94"/>
      <c r="L492" s="94"/>
      <c r="M492" s="94"/>
      <c r="N492" s="37"/>
      <c r="O492" s="38"/>
      <c r="P492" s="147"/>
      <c r="Q492" s="76"/>
      <c r="R492" s="76"/>
      <c r="S492" s="47"/>
      <c r="T492" s="52"/>
      <c r="U492" s="52"/>
    </row>
    <row r="493" spans="1:21">
      <c r="A493" s="147"/>
      <c r="B493" s="76"/>
      <c r="C493" s="76"/>
      <c r="D493" s="184"/>
      <c r="E493" s="94"/>
      <c r="F493" s="94"/>
      <c r="G493" s="94"/>
      <c r="H493" s="94"/>
      <c r="I493" s="94"/>
      <c r="J493" s="94"/>
      <c r="K493" s="94"/>
      <c r="L493" s="94"/>
      <c r="M493" s="94"/>
      <c r="N493" s="37"/>
      <c r="O493" s="38"/>
      <c r="P493" s="147"/>
      <c r="Q493" s="76"/>
      <c r="R493" s="76"/>
      <c r="S493" s="47"/>
      <c r="T493" s="52"/>
      <c r="U493" s="52"/>
    </row>
    <row r="494" spans="1:21">
      <c r="A494" s="147"/>
      <c r="B494" s="76"/>
      <c r="C494" s="76"/>
      <c r="D494" s="184"/>
      <c r="E494" s="94"/>
      <c r="F494" s="94"/>
      <c r="G494" s="94"/>
      <c r="H494" s="94"/>
      <c r="I494" s="94"/>
      <c r="J494" s="94"/>
      <c r="K494" s="94"/>
      <c r="L494" s="94"/>
      <c r="M494" s="94"/>
      <c r="N494" s="37"/>
      <c r="O494" s="38"/>
      <c r="P494" s="147"/>
      <c r="Q494" s="76"/>
      <c r="R494" s="76"/>
      <c r="S494" s="47"/>
      <c r="T494" s="52"/>
      <c r="U494" s="52"/>
    </row>
    <row r="495" spans="1:21">
      <c r="A495" s="147"/>
      <c r="B495" s="76"/>
      <c r="C495" s="76"/>
      <c r="D495" s="184"/>
      <c r="E495" s="94"/>
      <c r="F495" s="94"/>
      <c r="G495" s="94"/>
      <c r="H495" s="94"/>
      <c r="I495" s="94"/>
      <c r="J495" s="94"/>
      <c r="K495" s="94"/>
      <c r="L495" s="94"/>
      <c r="M495" s="94"/>
      <c r="N495" s="37"/>
      <c r="O495" s="38"/>
      <c r="P495" s="147"/>
      <c r="Q495" s="76"/>
      <c r="R495" s="76"/>
      <c r="S495" s="47"/>
      <c r="T495" s="52"/>
      <c r="U495" s="52"/>
    </row>
    <row r="496" spans="1:21">
      <c r="A496" s="147"/>
      <c r="B496" s="76"/>
      <c r="C496" s="76"/>
      <c r="D496" s="184"/>
      <c r="E496" s="94"/>
      <c r="F496" s="94"/>
      <c r="G496" s="94"/>
      <c r="H496" s="94"/>
      <c r="I496" s="94"/>
      <c r="J496" s="94"/>
      <c r="K496" s="94"/>
      <c r="L496" s="94"/>
      <c r="M496" s="94"/>
      <c r="N496" s="37"/>
      <c r="O496" s="38"/>
      <c r="P496" s="147"/>
      <c r="Q496" s="76"/>
      <c r="R496" s="76"/>
      <c r="S496" s="47"/>
      <c r="T496" s="52"/>
      <c r="U496" s="52"/>
    </row>
    <row r="497" spans="1:27">
      <c r="A497" s="147"/>
      <c r="B497" s="76"/>
      <c r="C497" s="76"/>
      <c r="D497" s="185"/>
      <c r="E497" s="77"/>
      <c r="F497" s="77"/>
      <c r="G497" s="77"/>
      <c r="H497" s="77"/>
      <c r="I497" s="77"/>
      <c r="J497" s="77"/>
      <c r="K497" s="77"/>
      <c r="L497" s="77"/>
      <c r="M497" s="77"/>
      <c r="N497" s="37"/>
      <c r="O497" s="38"/>
      <c r="P497" s="147"/>
      <c r="Q497" s="76"/>
      <c r="R497" s="76"/>
      <c r="S497" s="47"/>
      <c r="T497" s="52"/>
      <c r="U497" s="52"/>
    </row>
    <row r="498" spans="1:27">
      <c r="A498" s="147"/>
      <c r="B498" s="76"/>
      <c r="C498" s="76"/>
      <c r="D498" s="185"/>
      <c r="E498" s="77"/>
      <c r="F498" s="77"/>
      <c r="G498" s="77"/>
      <c r="H498" s="77"/>
      <c r="I498" s="77"/>
      <c r="J498" s="77"/>
      <c r="K498" s="77"/>
      <c r="L498" s="77"/>
      <c r="M498" s="77"/>
      <c r="N498" s="37"/>
      <c r="O498" s="38"/>
      <c r="P498" s="147"/>
      <c r="Q498" s="76"/>
      <c r="R498" s="76"/>
      <c r="S498" s="47"/>
      <c r="T498" s="52"/>
      <c r="U498" s="52"/>
    </row>
    <row r="499" spans="1:27">
      <c r="A499" s="147"/>
      <c r="B499" s="76"/>
      <c r="C499" s="76"/>
      <c r="D499" s="185"/>
      <c r="E499" s="77"/>
      <c r="F499" s="77"/>
      <c r="G499" s="77"/>
      <c r="H499" s="77"/>
      <c r="I499" s="77"/>
      <c r="J499" s="77"/>
      <c r="K499" s="77"/>
      <c r="L499" s="77"/>
      <c r="M499" s="77"/>
      <c r="N499" s="37"/>
      <c r="O499" s="38"/>
      <c r="P499" s="147"/>
      <c r="Q499" s="76"/>
      <c r="R499" s="76"/>
      <c r="S499" s="47"/>
      <c r="T499" s="52"/>
      <c r="U499" s="52"/>
    </row>
    <row r="500" spans="1:27">
      <c r="A500" s="147"/>
      <c r="B500" s="76"/>
      <c r="C500" s="76"/>
      <c r="D500" s="185"/>
      <c r="E500" s="77"/>
      <c r="F500" s="77"/>
      <c r="G500" s="77"/>
      <c r="H500" s="77"/>
      <c r="I500" s="77"/>
      <c r="J500" s="77"/>
      <c r="K500" s="77"/>
      <c r="L500" s="77"/>
      <c r="M500" s="77"/>
      <c r="N500" s="37"/>
      <c r="O500" s="38"/>
      <c r="P500" s="147"/>
      <c r="Q500" s="76"/>
      <c r="R500" s="76"/>
      <c r="S500" s="47"/>
      <c r="T500" s="52"/>
      <c r="U500" s="52"/>
    </row>
    <row r="501" spans="1:27">
      <c r="A501" s="147"/>
      <c r="B501" s="76"/>
      <c r="C501" s="76"/>
      <c r="D501" s="186"/>
      <c r="E501" s="35"/>
      <c r="F501" s="35"/>
      <c r="G501" s="35"/>
      <c r="H501" s="35"/>
      <c r="I501" s="35"/>
      <c r="J501" s="35"/>
      <c r="K501" s="35"/>
      <c r="L501" s="35"/>
      <c r="M501" s="35"/>
      <c r="N501" s="37"/>
      <c r="O501" s="38"/>
      <c r="P501" s="36"/>
      <c r="Q501" s="76"/>
      <c r="R501" s="76"/>
      <c r="S501" s="40"/>
      <c r="T501" s="41"/>
      <c r="U501" s="41"/>
    </row>
    <row r="502" spans="1:27">
      <c r="A502" s="147"/>
      <c r="B502" s="76"/>
      <c r="C502" s="76"/>
      <c r="D502" s="186"/>
      <c r="E502" s="35"/>
      <c r="F502" s="35"/>
      <c r="G502" s="35"/>
      <c r="H502" s="35"/>
      <c r="I502" s="35"/>
      <c r="J502" s="35"/>
      <c r="K502" s="35"/>
      <c r="L502" s="35"/>
      <c r="M502" s="35"/>
      <c r="N502" s="37"/>
      <c r="O502" s="38"/>
      <c r="P502" s="36"/>
      <c r="Q502" s="34"/>
      <c r="R502" s="76"/>
      <c r="S502" s="40"/>
      <c r="T502" s="41"/>
      <c r="U502" s="41"/>
    </row>
    <row r="503" spans="1:27">
      <c r="A503" s="147"/>
      <c r="B503" s="76"/>
      <c r="C503" s="76"/>
      <c r="D503" s="186"/>
      <c r="E503" s="35"/>
      <c r="F503" s="35"/>
      <c r="G503" s="35"/>
      <c r="H503" s="35"/>
      <c r="I503" s="35"/>
      <c r="J503" s="35"/>
      <c r="K503" s="35"/>
      <c r="L503" s="35"/>
      <c r="M503" s="35"/>
      <c r="N503" s="37"/>
      <c r="O503" s="38"/>
      <c r="P503" s="36"/>
      <c r="Q503" s="34"/>
      <c r="R503" s="76"/>
      <c r="S503" s="40"/>
      <c r="T503" s="41"/>
      <c r="U503" s="41"/>
    </row>
    <row r="504" spans="1:27">
      <c r="A504" s="147"/>
      <c r="B504" s="76"/>
      <c r="C504" s="76"/>
      <c r="D504" s="186"/>
      <c r="E504" s="35"/>
      <c r="F504" s="35"/>
      <c r="G504" s="35"/>
      <c r="H504" s="35"/>
      <c r="I504" s="35"/>
      <c r="J504" s="35"/>
      <c r="K504" s="35"/>
      <c r="L504" s="35"/>
      <c r="M504" s="35"/>
      <c r="N504" s="37"/>
      <c r="O504" s="38"/>
      <c r="P504" s="36"/>
      <c r="Q504" s="34"/>
      <c r="R504" s="76"/>
      <c r="S504" s="40"/>
      <c r="T504" s="41"/>
      <c r="U504" s="41"/>
    </row>
    <row r="505" spans="1:27">
      <c r="A505" s="147"/>
      <c r="B505" s="76"/>
      <c r="C505" s="76"/>
      <c r="D505" s="186"/>
      <c r="E505" s="35"/>
      <c r="F505" s="35"/>
      <c r="G505" s="35"/>
      <c r="H505" s="35"/>
      <c r="I505" s="35"/>
      <c r="J505" s="35"/>
      <c r="K505" s="35"/>
      <c r="L505" s="35"/>
      <c r="M505" s="35"/>
      <c r="N505" s="37"/>
      <c r="O505" s="38"/>
      <c r="P505" s="36"/>
      <c r="Q505" s="34"/>
      <c r="R505" s="76"/>
      <c r="S505" s="40"/>
      <c r="T505" s="41"/>
      <c r="U505" s="41"/>
    </row>
    <row r="506" spans="1:27">
      <c r="A506" s="147"/>
      <c r="B506" s="76"/>
      <c r="C506" s="76"/>
      <c r="D506" s="186"/>
      <c r="E506" s="35"/>
      <c r="F506" s="35"/>
      <c r="G506" s="35"/>
      <c r="H506" s="35"/>
      <c r="I506" s="35"/>
      <c r="J506" s="35"/>
      <c r="K506" s="35"/>
      <c r="L506" s="35"/>
      <c r="M506" s="35"/>
      <c r="N506" s="37"/>
      <c r="O506" s="38"/>
      <c r="P506" s="36"/>
      <c r="Q506" s="34"/>
      <c r="R506" s="76"/>
      <c r="S506" s="40"/>
      <c r="T506" s="41"/>
      <c r="U506" s="41"/>
    </row>
    <row r="507" spans="1:27">
      <c r="A507" s="147"/>
      <c r="B507" s="76"/>
      <c r="C507" s="76"/>
      <c r="D507" s="186"/>
      <c r="E507" s="35"/>
      <c r="F507" s="35"/>
      <c r="G507" s="35"/>
      <c r="H507" s="35"/>
      <c r="I507" s="35"/>
      <c r="J507" s="35"/>
      <c r="K507" s="35"/>
      <c r="L507" s="35"/>
      <c r="M507" s="35"/>
      <c r="N507" s="37"/>
      <c r="O507" s="38"/>
      <c r="P507" s="36"/>
      <c r="Q507" s="34"/>
      <c r="R507" s="76"/>
      <c r="S507" s="40"/>
      <c r="T507" s="41"/>
      <c r="U507" s="41"/>
    </row>
    <row r="508" spans="1:27" s="198" customFormat="1">
      <c r="A508" s="34"/>
      <c r="B508" s="76"/>
      <c r="C508" s="76"/>
      <c r="D508" s="186"/>
      <c r="E508" s="35"/>
      <c r="F508" s="35"/>
      <c r="G508" s="35"/>
      <c r="H508" s="35"/>
      <c r="I508" s="35"/>
      <c r="J508" s="35"/>
      <c r="K508" s="35"/>
      <c r="L508" s="35"/>
      <c r="M508" s="35"/>
      <c r="N508" s="37"/>
      <c r="O508" s="38"/>
      <c r="P508" s="34"/>
      <c r="Q508" s="34"/>
      <c r="R508" s="76"/>
      <c r="S508" s="40"/>
      <c r="T508" s="42"/>
      <c r="U508" s="42"/>
      <c r="V508" s="199"/>
      <c r="W508" s="200"/>
      <c r="X508" s="224"/>
      <c r="Y508" s="226"/>
      <c r="AA508" s="146"/>
    </row>
    <row r="509" spans="1:27" s="198" customFormat="1">
      <c r="A509" s="34"/>
      <c r="B509" s="76"/>
      <c r="C509" s="76"/>
      <c r="D509" s="186"/>
      <c r="E509" s="35"/>
      <c r="F509" s="35"/>
      <c r="G509" s="35"/>
      <c r="H509" s="35"/>
      <c r="I509" s="35"/>
      <c r="J509" s="35"/>
      <c r="K509" s="35"/>
      <c r="L509" s="35"/>
      <c r="M509" s="35"/>
      <c r="N509" s="37"/>
      <c r="O509" s="38"/>
      <c r="P509" s="34"/>
      <c r="Q509" s="34"/>
      <c r="R509" s="76"/>
      <c r="S509" s="40"/>
      <c r="T509" s="42"/>
      <c r="U509" s="42"/>
      <c r="V509" s="199"/>
      <c r="W509" s="200"/>
      <c r="X509" s="224"/>
      <c r="Y509" s="226"/>
      <c r="AA509" s="146"/>
    </row>
    <row r="510" spans="1:27" s="198" customFormat="1">
      <c r="A510" s="34"/>
      <c r="B510" s="76"/>
      <c r="C510" s="76"/>
      <c r="D510" s="186"/>
      <c r="E510" s="35"/>
      <c r="F510" s="35"/>
      <c r="G510" s="35"/>
      <c r="H510" s="35"/>
      <c r="I510" s="35"/>
      <c r="J510" s="35"/>
      <c r="K510" s="35"/>
      <c r="L510" s="35"/>
      <c r="M510" s="35"/>
      <c r="N510" s="37"/>
      <c r="O510" s="38"/>
      <c r="P510" s="34"/>
      <c r="Q510" s="34"/>
      <c r="R510" s="76"/>
      <c r="S510" s="40"/>
      <c r="T510" s="42"/>
      <c r="U510" s="42"/>
      <c r="V510" s="199"/>
      <c r="W510" s="200"/>
      <c r="X510" s="224"/>
      <c r="Y510" s="226"/>
      <c r="AA510" s="146"/>
    </row>
    <row r="511" spans="1:27" s="198" customFormat="1">
      <c r="A511" s="34"/>
      <c r="B511" s="76"/>
      <c r="C511" s="76"/>
      <c r="D511" s="186"/>
      <c r="E511" s="35"/>
      <c r="F511" s="35"/>
      <c r="G511" s="35"/>
      <c r="H511" s="35"/>
      <c r="I511" s="35"/>
      <c r="J511" s="35"/>
      <c r="K511" s="35"/>
      <c r="L511" s="35"/>
      <c r="M511" s="35"/>
      <c r="N511" s="37"/>
      <c r="O511" s="38"/>
      <c r="P511" s="34"/>
      <c r="Q511" s="34"/>
      <c r="R511" s="76"/>
      <c r="S511" s="40"/>
      <c r="T511" s="42"/>
      <c r="U511" s="42"/>
      <c r="V511" s="199"/>
      <c r="W511" s="200"/>
      <c r="X511" s="224"/>
      <c r="Y511" s="226"/>
      <c r="AA511" s="146"/>
    </row>
    <row r="512" spans="1:27" s="198" customFormat="1">
      <c r="A512" s="34"/>
      <c r="B512" s="76"/>
      <c r="C512" s="76"/>
      <c r="D512" s="187"/>
      <c r="E512" s="43"/>
      <c r="F512" s="43"/>
      <c r="G512" s="43"/>
      <c r="H512" s="43"/>
      <c r="I512" s="43"/>
      <c r="J512" s="43"/>
      <c r="K512" s="43"/>
      <c r="L512" s="43"/>
      <c r="M512" s="43"/>
      <c r="N512" s="37"/>
      <c r="O512" s="38"/>
      <c r="P512" s="34"/>
      <c r="Q512" s="34"/>
      <c r="R512" s="76"/>
      <c r="S512" s="40"/>
      <c r="T512" s="42"/>
      <c r="U512" s="42"/>
      <c r="V512" s="199"/>
      <c r="W512" s="200"/>
      <c r="X512" s="224"/>
      <c r="Y512" s="226"/>
      <c r="AA512" s="146"/>
    </row>
    <row r="513" spans="1:27" s="198" customFormat="1">
      <c r="A513" s="34"/>
      <c r="B513" s="76"/>
      <c r="C513" s="76"/>
      <c r="D513" s="187"/>
      <c r="E513" s="43"/>
      <c r="F513" s="43"/>
      <c r="G513" s="43"/>
      <c r="H513" s="43"/>
      <c r="I513" s="43"/>
      <c r="J513" s="43"/>
      <c r="K513" s="43"/>
      <c r="L513" s="43"/>
      <c r="M513" s="43"/>
      <c r="N513" s="37"/>
      <c r="O513" s="38"/>
      <c r="P513" s="34"/>
      <c r="Q513" s="34"/>
      <c r="R513" s="76"/>
      <c r="S513" s="40"/>
      <c r="T513" s="42"/>
      <c r="U513" s="42"/>
      <c r="V513" s="199"/>
      <c r="W513" s="200"/>
      <c r="X513" s="224"/>
      <c r="Y513" s="226"/>
      <c r="AA513" s="146"/>
    </row>
    <row r="514" spans="1:27" s="198" customFormat="1">
      <c r="A514" s="34"/>
      <c r="B514" s="76"/>
      <c r="C514" s="76"/>
      <c r="D514" s="187"/>
      <c r="E514" s="43"/>
      <c r="F514" s="43"/>
      <c r="G514" s="43"/>
      <c r="H514" s="43"/>
      <c r="I514" s="43"/>
      <c r="J514" s="43"/>
      <c r="K514" s="43"/>
      <c r="L514" s="43"/>
      <c r="M514" s="43"/>
      <c r="N514" s="37"/>
      <c r="O514" s="38"/>
      <c r="P514" s="34"/>
      <c r="Q514" s="34"/>
      <c r="R514" s="76"/>
      <c r="S514" s="40"/>
      <c r="T514" s="42"/>
      <c r="U514" s="42"/>
      <c r="V514" s="199"/>
      <c r="W514" s="200"/>
      <c r="X514" s="224"/>
      <c r="Y514" s="226"/>
      <c r="AA514" s="146"/>
    </row>
    <row r="515" spans="1:27" s="198" customFormat="1">
      <c r="A515" s="34"/>
      <c r="B515" s="76"/>
      <c r="C515" s="76"/>
      <c r="D515" s="187"/>
      <c r="E515" s="43"/>
      <c r="F515" s="43"/>
      <c r="G515" s="43"/>
      <c r="H515" s="43"/>
      <c r="I515" s="43"/>
      <c r="J515" s="43"/>
      <c r="K515" s="43"/>
      <c r="L515" s="43"/>
      <c r="M515" s="43"/>
      <c r="N515" s="37"/>
      <c r="O515" s="38"/>
      <c r="P515" s="34"/>
      <c r="Q515" s="34"/>
      <c r="R515" s="76"/>
      <c r="S515" s="40"/>
      <c r="T515" s="42"/>
      <c r="U515" s="42"/>
      <c r="V515" s="199"/>
      <c r="W515" s="200"/>
      <c r="X515" s="224"/>
      <c r="Y515" s="226"/>
      <c r="AA515" s="146"/>
    </row>
    <row r="516" spans="1:27" s="198" customFormat="1">
      <c r="A516" s="34"/>
      <c r="B516" s="76"/>
      <c r="C516" s="76"/>
      <c r="D516" s="187"/>
      <c r="E516" s="43"/>
      <c r="F516" s="43"/>
      <c r="G516" s="43"/>
      <c r="H516" s="43"/>
      <c r="I516" s="43"/>
      <c r="J516" s="43"/>
      <c r="K516" s="43"/>
      <c r="L516" s="43"/>
      <c r="M516" s="43"/>
      <c r="N516" s="37"/>
      <c r="O516" s="38"/>
      <c r="P516" s="34"/>
      <c r="Q516" s="34"/>
      <c r="R516" s="76"/>
      <c r="S516" s="40"/>
      <c r="T516" s="42"/>
      <c r="U516" s="42"/>
      <c r="V516" s="199"/>
      <c r="W516" s="200"/>
      <c r="X516" s="224"/>
      <c r="Y516" s="226"/>
      <c r="AA516" s="146"/>
    </row>
    <row r="517" spans="1:27" s="198" customFormat="1">
      <c r="A517" s="34"/>
      <c r="B517" s="76"/>
      <c r="C517" s="76"/>
      <c r="D517" s="187"/>
      <c r="E517" s="43"/>
      <c r="F517" s="43"/>
      <c r="G517" s="43"/>
      <c r="H517" s="43"/>
      <c r="I517" s="43"/>
      <c r="J517" s="43"/>
      <c r="K517" s="43"/>
      <c r="L517" s="43"/>
      <c r="M517" s="43"/>
      <c r="N517" s="37"/>
      <c r="O517" s="38"/>
      <c r="P517" s="34"/>
      <c r="Q517" s="34"/>
      <c r="R517" s="76"/>
      <c r="S517" s="40"/>
      <c r="T517" s="42"/>
      <c r="U517" s="42"/>
      <c r="V517" s="199"/>
      <c r="W517" s="200"/>
      <c r="X517" s="224"/>
      <c r="Y517" s="226"/>
      <c r="AA517" s="146"/>
    </row>
    <row r="518" spans="1:27" s="198" customFormat="1">
      <c r="A518" s="34"/>
      <c r="B518" s="76"/>
      <c r="C518" s="76"/>
      <c r="D518" s="187"/>
      <c r="E518" s="43"/>
      <c r="F518" s="43"/>
      <c r="G518" s="43"/>
      <c r="H518" s="43"/>
      <c r="I518" s="43"/>
      <c r="J518" s="43"/>
      <c r="K518" s="43"/>
      <c r="L518" s="43"/>
      <c r="M518" s="43"/>
      <c r="N518" s="37"/>
      <c r="O518" s="38"/>
      <c r="P518" s="34"/>
      <c r="Q518" s="39"/>
      <c r="R518" s="84"/>
      <c r="S518" s="40"/>
      <c r="T518" s="42"/>
      <c r="U518" s="42"/>
      <c r="V518" s="199"/>
      <c r="W518" s="200"/>
      <c r="X518" s="224"/>
      <c r="Y518" s="226"/>
      <c r="AA518" s="146"/>
    </row>
    <row r="519" spans="1:27" s="198" customFormat="1">
      <c r="A519" s="34"/>
      <c r="B519" s="76"/>
      <c r="C519" s="76"/>
      <c r="D519" s="187"/>
      <c r="E519" s="43"/>
      <c r="F519" s="43"/>
      <c r="G519" s="43"/>
      <c r="H519" s="43"/>
      <c r="I519" s="43"/>
      <c r="J519" s="43"/>
      <c r="K519" s="43"/>
      <c r="L519" s="43"/>
      <c r="M519" s="43"/>
      <c r="N519" s="37"/>
      <c r="O519" s="38"/>
      <c r="P519" s="34"/>
      <c r="Q519" s="39"/>
      <c r="R519" s="84"/>
      <c r="S519" s="40"/>
      <c r="T519" s="42"/>
      <c r="U519" s="42"/>
      <c r="V519" s="199"/>
      <c r="W519" s="200"/>
      <c r="X519" s="224"/>
      <c r="Y519" s="226"/>
      <c r="AA519" s="146"/>
    </row>
    <row r="520" spans="1:27" s="198" customFormat="1">
      <c r="A520" s="34"/>
      <c r="B520" s="76"/>
      <c r="C520" s="76"/>
      <c r="D520" s="187"/>
      <c r="E520" s="43"/>
      <c r="F520" s="43"/>
      <c r="G520" s="43"/>
      <c r="H520" s="43"/>
      <c r="I520" s="43"/>
      <c r="J520" s="43"/>
      <c r="K520" s="43"/>
      <c r="L520" s="43"/>
      <c r="M520" s="43"/>
      <c r="N520" s="37"/>
      <c r="O520" s="38"/>
      <c r="P520" s="34"/>
      <c r="Q520" s="39"/>
      <c r="R520" s="84"/>
      <c r="S520" s="40"/>
      <c r="T520" s="42"/>
      <c r="U520" s="42"/>
      <c r="V520" s="199"/>
      <c r="W520" s="200"/>
      <c r="X520" s="224"/>
      <c r="Y520" s="226"/>
      <c r="AA520" s="146"/>
    </row>
    <row r="521" spans="1:27" s="198" customFormat="1">
      <c r="A521" s="34"/>
      <c r="B521" s="76"/>
      <c r="C521" s="76"/>
      <c r="D521" s="187"/>
      <c r="E521" s="43"/>
      <c r="F521" s="43"/>
      <c r="G521" s="43"/>
      <c r="H521" s="43"/>
      <c r="I521" s="43"/>
      <c r="J521" s="43"/>
      <c r="K521" s="43"/>
      <c r="L521" s="43"/>
      <c r="M521" s="43"/>
      <c r="N521" s="37"/>
      <c r="O521" s="38"/>
      <c r="P521" s="34"/>
      <c r="Q521" s="34"/>
      <c r="R521" s="76"/>
      <c r="S521" s="40"/>
      <c r="T521" s="42"/>
      <c r="U521" s="42"/>
      <c r="V521" s="199"/>
      <c r="W521" s="200"/>
      <c r="X521" s="224"/>
      <c r="Y521" s="226"/>
      <c r="AA521" s="146"/>
    </row>
    <row r="522" spans="1:27" s="198" customFormat="1">
      <c r="A522" s="34"/>
      <c r="B522" s="76"/>
      <c r="C522" s="76"/>
      <c r="D522" s="187"/>
      <c r="E522" s="43"/>
      <c r="F522" s="43"/>
      <c r="G522" s="43"/>
      <c r="H522" s="43"/>
      <c r="I522" s="43"/>
      <c r="J522" s="43"/>
      <c r="K522" s="43"/>
      <c r="L522" s="43"/>
      <c r="M522" s="43"/>
      <c r="N522" s="37"/>
      <c r="O522" s="38"/>
      <c r="P522" s="34"/>
      <c r="Q522" s="34"/>
      <c r="R522" s="76"/>
      <c r="S522" s="40"/>
      <c r="T522" s="42"/>
      <c r="U522" s="42"/>
      <c r="V522" s="199"/>
      <c r="W522" s="200"/>
      <c r="X522" s="224"/>
      <c r="Y522" s="226"/>
      <c r="AA522" s="146"/>
    </row>
    <row r="523" spans="1:27" s="198" customFormat="1">
      <c r="A523" s="34"/>
      <c r="B523" s="76"/>
      <c r="C523" s="76"/>
      <c r="D523" s="187"/>
      <c r="E523" s="43"/>
      <c r="F523" s="43"/>
      <c r="G523" s="43"/>
      <c r="H523" s="43"/>
      <c r="I523" s="43"/>
      <c r="J523" s="43"/>
      <c r="K523" s="43"/>
      <c r="L523" s="43"/>
      <c r="M523" s="43"/>
      <c r="N523" s="37"/>
      <c r="O523" s="38"/>
      <c r="P523" s="34"/>
      <c r="Q523" s="34"/>
      <c r="R523" s="76"/>
      <c r="S523" s="40"/>
      <c r="T523" s="42"/>
      <c r="U523" s="42"/>
      <c r="V523" s="199"/>
      <c r="W523" s="200"/>
      <c r="X523" s="224"/>
      <c r="Y523" s="226"/>
      <c r="AA523" s="146"/>
    </row>
    <row r="524" spans="1:27" s="198" customFormat="1">
      <c r="A524" s="34"/>
      <c r="B524" s="76"/>
      <c r="C524" s="76"/>
      <c r="D524" s="187"/>
      <c r="E524" s="43"/>
      <c r="F524" s="43"/>
      <c r="G524" s="43"/>
      <c r="H524" s="43"/>
      <c r="I524" s="43"/>
      <c r="J524" s="43"/>
      <c r="K524" s="43"/>
      <c r="L524" s="43"/>
      <c r="M524" s="43"/>
      <c r="N524" s="37"/>
      <c r="O524" s="38"/>
      <c r="P524" s="34"/>
      <c r="Q524" s="34"/>
      <c r="R524" s="76"/>
      <c r="S524" s="40"/>
      <c r="T524" s="42"/>
      <c r="U524" s="42"/>
      <c r="V524" s="199"/>
      <c r="W524" s="200"/>
      <c r="X524" s="224"/>
      <c r="Y524" s="226"/>
      <c r="AA524" s="146"/>
    </row>
    <row r="525" spans="1:27" s="198" customFormat="1">
      <c r="A525" s="34"/>
      <c r="B525" s="76"/>
      <c r="C525" s="76"/>
      <c r="D525" s="187"/>
      <c r="E525" s="43"/>
      <c r="F525" s="43"/>
      <c r="G525" s="43"/>
      <c r="H525" s="43"/>
      <c r="I525" s="43"/>
      <c r="J525" s="43"/>
      <c r="K525" s="43"/>
      <c r="L525" s="43"/>
      <c r="M525" s="43"/>
      <c r="N525" s="37"/>
      <c r="O525" s="38"/>
      <c r="P525" s="34"/>
      <c r="Q525" s="34"/>
      <c r="R525" s="76"/>
      <c r="S525" s="40"/>
      <c r="T525" s="42"/>
      <c r="U525" s="42"/>
      <c r="V525" s="199"/>
      <c r="W525" s="200"/>
      <c r="X525" s="224"/>
      <c r="Y525" s="226"/>
      <c r="AA525" s="146"/>
    </row>
    <row r="526" spans="1:27" s="198" customFormat="1" ht="17.45" customHeight="1">
      <c r="A526" s="34"/>
      <c r="B526" s="76"/>
      <c r="C526" s="76"/>
      <c r="D526" s="187"/>
      <c r="E526" s="43"/>
      <c r="F526" s="43"/>
      <c r="G526" s="43"/>
      <c r="H526" s="43"/>
      <c r="I526" s="43"/>
      <c r="J526" s="43"/>
      <c r="K526" s="43"/>
      <c r="L526" s="43"/>
      <c r="M526" s="43"/>
      <c r="N526" s="37"/>
      <c r="O526" s="38"/>
      <c r="P526" s="34"/>
      <c r="Q526" s="34"/>
      <c r="R526" s="76"/>
      <c r="S526" s="40"/>
      <c r="T526" s="42"/>
      <c r="U526" s="42"/>
      <c r="V526" s="199"/>
      <c r="W526" s="200"/>
      <c r="X526" s="224"/>
      <c r="Y526" s="226"/>
      <c r="AA526" s="146"/>
    </row>
    <row r="527" spans="1:27" s="198" customFormat="1">
      <c r="A527" s="34"/>
      <c r="B527" s="76"/>
      <c r="C527" s="76"/>
      <c r="D527" s="187"/>
      <c r="E527" s="43"/>
      <c r="F527" s="43"/>
      <c r="G527" s="43"/>
      <c r="H527" s="43"/>
      <c r="I527" s="43"/>
      <c r="J527" s="43"/>
      <c r="K527" s="43"/>
      <c r="L527" s="43"/>
      <c r="M527" s="43"/>
      <c r="N527" s="37"/>
      <c r="O527" s="38"/>
      <c r="P527" s="34"/>
      <c r="Q527" s="34"/>
      <c r="R527" s="76"/>
      <c r="S527" s="40"/>
      <c r="T527" s="42"/>
      <c r="U527" s="42"/>
      <c r="V527" s="199"/>
      <c r="W527" s="200"/>
      <c r="X527" s="224"/>
      <c r="Y527" s="226"/>
      <c r="AA527" s="146"/>
    </row>
    <row r="528" spans="1:27" s="198" customFormat="1">
      <c r="A528" s="34"/>
      <c r="B528" s="76"/>
      <c r="C528" s="76"/>
      <c r="D528" s="187"/>
      <c r="E528" s="43"/>
      <c r="F528" s="43"/>
      <c r="G528" s="43"/>
      <c r="H528" s="43"/>
      <c r="I528" s="43"/>
      <c r="J528" s="43"/>
      <c r="K528" s="43"/>
      <c r="L528" s="43"/>
      <c r="M528" s="43"/>
      <c r="N528" s="37"/>
      <c r="O528" s="38"/>
      <c r="P528" s="34"/>
      <c r="Q528" s="34"/>
      <c r="R528" s="76"/>
      <c r="S528" s="40"/>
      <c r="T528" s="42"/>
      <c r="U528" s="42"/>
      <c r="V528" s="199"/>
      <c r="W528" s="200"/>
      <c r="X528" s="224"/>
      <c r="Y528" s="226"/>
      <c r="AA528" s="146"/>
    </row>
    <row r="529" spans="1:27" s="198" customFormat="1">
      <c r="A529" s="34"/>
      <c r="B529" s="76"/>
      <c r="C529" s="76"/>
      <c r="D529" s="187"/>
      <c r="E529" s="43"/>
      <c r="F529" s="43"/>
      <c r="G529" s="43"/>
      <c r="H529" s="43"/>
      <c r="I529" s="43"/>
      <c r="J529" s="43"/>
      <c r="K529" s="43"/>
      <c r="L529" s="43"/>
      <c r="M529" s="43"/>
      <c r="N529" s="37"/>
      <c r="O529" s="38"/>
      <c r="P529" s="34"/>
      <c r="Q529" s="34"/>
      <c r="R529" s="76"/>
      <c r="S529" s="40"/>
      <c r="T529" s="42"/>
      <c r="U529" s="42"/>
      <c r="V529" s="199"/>
      <c r="W529" s="200"/>
      <c r="X529" s="224"/>
      <c r="Y529" s="226"/>
      <c r="AA529" s="146"/>
    </row>
    <row r="530" spans="1:27" s="198" customFormat="1">
      <c r="A530" s="34"/>
      <c r="B530" s="76"/>
      <c r="C530" s="76"/>
      <c r="D530" s="187"/>
      <c r="E530" s="43"/>
      <c r="F530" s="43"/>
      <c r="G530" s="43"/>
      <c r="H530" s="43"/>
      <c r="I530" s="43"/>
      <c r="J530" s="43"/>
      <c r="K530" s="43"/>
      <c r="L530" s="43"/>
      <c r="M530" s="43"/>
      <c r="N530" s="37"/>
      <c r="O530" s="38"/>
      <c r="P530" s="34"/>
      <c r="Q530" s="34"/>
      <c r="R530" s="76"/>
      <c r="S530" s="40"/>
      <c r="T530" s="42"/>
      <c r="U530" s="42"/>
      <c r="V530" s="199"/>
      <c r="W530" s="200"/>
      <c r="X530" s="224"/>
      <c r="Y530" s="226"/>
      <c r="AA530" s="146"/>
    </row>
    <row r="531" spans="1:27" s="198" customFormat="1">
      <c r="A531" s="34"/>
      <c r="B531" s="76"/>
      <c r="C531" s="76"/>
      <c r="D531" s="187"/>
      <c r="E531" s="43"/>
      <c r="F531" s="43"/>
      <c r="G531" s="43"/>
      <c r="H531" s="43"/>
      <c r="I531" s="43"/>
      <c r="J531" s="43"/>
      <c r="K531" s="43"/>
      <c r="L531" s="43"/>
      <c r="M531" s="43"/>
      <c r="N531" s="37"/>
      <c r="O531" s="38"/>
      <c r="P531" s="34"/>
      <c r="Q531" s="34"/>
      <c r="R531" s="76"/>
      <c r="S531" s="40"/>
      <c r="T531" s="42"/>
      <c r="U531" s="42"/>
      <c r="V531" s="199"/>
      <c r="W531" s="200"/>
      <c r="X531" s="224"/>
      <c r="Y531" s="226"/>
      <c r="AA531" s="146"/>
    </row>
    <row r="532" spans="1:27" s="198" customFormat="1">
      <c r="A532" s="34"/>
      <c r="B532" s="76"/>
      <c r="C532" s="76"/>
      <c r="D532" s="187"/>
      <c r="E532" s="43"/>
      <c r="F532" s="43"/>
      <c r="G532" s="43"/>
      <c r="H532" s="43"/>
      <c r="I532" s="43"/>
      <c r="J532" s="43"/>
      <c r="K532" s="43"/>
      <c r="L532" s="43"/>
      <c r="M532" s="43"/>
      <c r="N532" s="37"/>
      <c r="O532" s="38"/>
      <c r="P532" s="34"/>
      <c r="Q532" s="34"/>
      <c r="R532" s="76"/>
      <c r="S532" s="40"/>
      <c r="T532" s="42"/>
      <c r="U532" s="42"/>
      <c r="V532" s="199"/>
      <c r="W532" s="200"/>
      <c r="X532" s="224"/>
      <c r="Y532" s="226"/>
      <c r="AA532" s="146"/>
    </row>
    <row r="533" spans="1:27" s="198" customFormat="1">
      <c r="A533" s="34"/>
      <c r="B533" s="76"/>
      <c r="C533" s="76"/>
      <c r="D533" s="187"/>
      <c r="E533" s="43"/>
      <c r="F533" s="43"/>
      <c r="G533" s="43"/>
      <c r="H533" s="43"/>
      <c r="I533" s="43"/>
      <c r="J533" s="43"/>
      <c r="K533" s="43"/>
      <c r="L533" s="43"/>
      <c r="M533" s="43"/>
      <c r="N533" s="37"/>
      <c r="O533" s="38"/>
      <c r="P533" s="34"/>
      <c r="Q533" s="34"/>
      <c r="R533" s="76"/>
      <c r="S533" s="40"/>
      <c r="T533" s="42"/>
      <c r="U533" s="42"/>
      <c r="V533" s="199"/>
      <c r="W533" s="200"/>
      <c r="X533" s="224"/>
      <c r="Y533" s="226"/>
      <c r="AA533" s="146"/>
    </row>
    <row r="534" spans="1:27" s="198" customFormat="1">
      <c r="A534" s="34"/>
      <c r="B534" s="76"/>
      <c r="C534" s="76"/>
      <c r="D534" s="187"/>
      <c r="E534" s="43"/>
      <c r="F534" s="43"/>
      <c r="G534" s="43"/>
      <c r="H534" s="43"/>
      <c r="I534" s="43"/>
      <c r="J534" s="43"/>
      <c r="K534" s="43"/>
      <c r="L534" s="43"/>
      <c r="M534" s="43"/>
      <c r="N534" s="37"/>
      <c r="O534" s="38"/>
      <c r="P534" s="34"/>
      <c r="Q534" s="34"/>
      <c r="R534" s="76"/>
      <c r="S534" s="40"/>
      <c r="T534" s="42"/>
      <c r="U534" s="42"/>
      <c r="V534" s="199"/>
      <c r="W534" s="200"/>
      <c r="X534" s="224"/>
      <c r="Y534" s="226"/>
      <c r="AA534" s="146"/>
    </row>
    <row r="535" spans="1:27" s="198" customFormat="1">
      <c r="A535" s="34"/>
      <c r="B535" s="76"/>
      <c r="C535" s="76"/>
      <c r="D535" s="187"/>
      <c r="E535" s="43"/>
      <c r="F535" s="43"/>
      <c r="G535" s="43"/>
      <c r="H535" s="43"/>
      <c r="I535" s="43"/>
      <c r="J535" s="43"/>
      <c r="K535" s="43"/>
      <c r="L535" s="43"/>
      <c r="M535" s="43"/>
      <c r="N535" s="37"/>
      <c r="O535" s="38"/>
      <c r="P535" s="34"/>
      <c r="Q535" s="34"/>
      <c r="R535" s="76"/>
      <c r="S535" s="40"/>
      <c r="T535" s="42"/>
      <c r="U535" s="42"/>
      <c r="V535" s="199"/>
      <c r="W535" s="200"/>
      <c r="X535" s="224"/>
      <c r="Y535" s="226"/>
      <c r="AA535" s="146"/>
    </row>
    <row r="536" spans="1:27" s="198" customFormat="1">
      <c r="A536" s="34"/>
      <c r="B536" s="76"/>
      <c r="C536" s="76"/>
      <c r="D536" s="187"/>
      <c r="E536" s="43"/>
      <c r="F536" s="43"/>
      <c r="G536" s="43"/>
      <c r="H536" s="43"/>
      <c r="I536" s="43"/>
      <c r="J536" s="43"/>
      <c r="K536" s="43"/>
      <c r="L536" s="43"/>
      <c r="M536" s="43"/>
      <c r="N536" s="37"/>
      <c r="O536" s="38"/>
      <c r="P536" s="34"/>
      <c r="Q536" s="34"/>
      <c r="R536" s="76"/>
      <c r="S536" s="40"/>
      <c r="T536" s="42"/>
      <c r="U536" s="42"/>
      <c r="V536" s="199"/>
      <c r="W536" s="200"/>
      <c r="X536" s="224"/>
      <c r="Y536" s="226"/>
      <c r="AA536" s="146"/>
    </row>
    <row r="537" spans="1:27" s="198" customFormat="1">
      <c r="A537" s="34"/>
      <c r="B537" s="76"/>
      <c r="C537" s="76"/>
      <c r="D537" s="187"/>
      <c r="E537" s="43"/>
      <c r="F537" s="43"/>
      <c r="G537" s="43"/>
      <c r="H537" s="43"/>
      <c r="I537" s="43"/>
      <c r="J537" s="43"/>
      <c r="K537" s="43"/>
      <c r="L537" s="43"/>
      <c r="M537" s="43"/>
      <c r="N537" s="37"/>
      <c r="O537" s="38"/>
      <c r="P537" s="34"/>
      <c r="Q537" s="34"/>
      <c r="R537" s="76"/>
      <c r="S537" s="40"/>
      <c r="T537" s="42"/>
      <c r="U537" s="42"/>
      <c r="V537" s="199"/>
      <c r="W537" s="200"/>
      <c r="X537" s="224"/>
      <c r="Y537" s="226"/>
      <c r="AA537" s="146"/>
    </row>
    <row r="538" spans="1:27" s="198" customFormat="1">
      <c r="A538" s="34"/>
      <c r="B538" s="76"/>
      <c r="C538" s="76"/>
      <c r="D538" s="187"/>
      <c r="E538" s="43"/>
      <c r="F538" s="43"/>
      <c r="G538" s="43"/>
      <c r="H538" s="43"/>
      <c r="I538" s="43"/>
      <c r="J538" s="43"/>
      <c r="K538" s="43"/>
      <c r="L538" s="43"/>
      <c r="M538" s="43"/>
      <c r="N538" s="37"/>
      <c r="O538" s="38"/>
      <c r="P538" s="34"/>
      <c r="Q538" s="34"/>
      <c r="R538" s="76"/>
      <c r="S538" s="40"/>
      <c r="T538" s="42"/>
      <c r="U538" s="42"/>
      <c r="V538" s="199"/>
      <c r="W538" s="200"/>
      <c r="X538" s="224"/>
      <c r="Y538" s="226"/>
      <c r="AA538" s="146"/>
    </row>
    <row r="539" spans="1:27" s="198" customFormat="1">
      <c r="A539" s="34"/>
      <c r="B539" s="76"/>
      <c r="C539" s="76"/>
      <c r="D539" s="187"/>
      <c r="E539" s="43"/>
      <c r="F539" s="43"/>
      <c r="G539" s="43"/>
      <c r="H539" s="43"/>
      <c r="I539" s="43"/>
      <c r="J539" s="43"/>
      <c r="K539" s="43"/>
      <c r="L539" s="43"/>
      <c r="M539" s="43"/>
      <c r="N539" s="37"/>
      <c r="O539" s="38"/>
      <c r="P539" s="34"/>
      <c r="Q539" s="34"/>
      <c r="R539" s="76"/>
      <c r="S539" s="40"/>
      <c r="T539" s="42"/>
      <c r="U539" s="42"/>
      <c r="V539" s="199"/>
      <c r="W539" s="200"/>
      <c r="X539" s="224"/>
      <c r="Y539" s="226"/>
      <c r="AA539" s="146"/>
    </row>
    <row r="540" spans="1:27" s="198" customFormat="1">
      <c r="A540" s="34"/>
      <c r="B540" s="76"/>
      <c r="C540" s="76"/>
      <c r="D540" s="187"/>
      <c r="E540" s="43"/>
      <c r="F540" s="43"/>
      <c r="G540" s="43"/>
      <c r="H540" s="43"/>
      <c r="I540" s="43"/>
      <c r="J540" s="43"/>
      <c r="K540" s="43"/>
      <c r="L540" s="43"/>
      <c r="M540" s="43"/>
      <c r="N540" s="37"/>
      <c r="O540" s="38"/>
      <c r="P540" s="34"/>
      <c r="Q540" s="34"/>
      <c r="R540" s="76"/>
      <c r="S540" s="40"/>
      <c r="T540" s="42"/>
      <c r="U540" s="42"/>
      <c r="V540" s="199"/>
      <c r="W540" s="200"/>
      <c r="X540" s="224"/>
      <c r="Y540" s="226"/>
      <c r="AA540" s="146"/>
    </row>
    <row r="541" spans="1:27" s="198" customFormat="1">
      <c r="A541" s="34"/>
      <c r="B541" s="76"/>
      <c r="C541" s="76"/>
      <c r="D541" s="187"/>
      <c r="E541" s="43"/>
      <c r="F541" s="43"/>
      <c r="G541" s="43"/>
      <c r="H541" s="43"/>
      <c r="I541" s="43"/>
      <c r="J541" s="43"/>
      <c r="K541" s="43"/>
      <c r="L541" s="43"/>
      <c r="M541" s="43"/>
      <c r="N541" s="37"/>
      <c r="O541" s="38"/>
      <c r="P541" s="34"/>
      <c r="Q541" s="34"/>
      <c r="R541" s="76"/>
      <c r="S541" s="40"/>
      <c r="T541" s="42"/>
      <c r="U541" s="42"/>
      <c r="V541" s="199"/>
      <c r="W541" s="200"/>
      <c r="X541" s="224"/>
      <c r="Y541" s="226"/>
      <c r="AA541" s="146"/>
    </row>
    <row r="542" spans="1:27" s="198" customFormat="1">
      <c r="A542" s="34"/>
      <c r="B542" s="76"/>
      <c r="C542" s="76"/>
      <c r="D542" s="187"/>
      <c r="E542" s="43"/>
      <c r="F542" s="43"/>
      <c r="G542" s="43"/>
      <c r="H542" s="43"/>
      <c r="I542" s="43"/>
      <c r="J542" s="43"/>
      <c r="K542" s="43"/>
      <c r="L542" s="43"/>
      <c r="M542" s="43"/>
      <c r="N542" s="37"/>
      <c r="O542" s="38"/>
      <c r="P542" s="34"/>
      <c r="Q542" s="34"/>
      <c r="R542" s="76"/>
      <c r="S542" s="40"/>
      <c r="T542" s="42"/>
      <c r="U542" s="42"/>
      <c r="V542" s="199"/>
      <c r="W542" s="200"/>
      <c r="X542" s="224"/>
      <c r="Y542" s="226"/>
      <c r="AA542" s="146"/>
    </row>
    <row r="543" spans="1:27" s="198" customFormat="1">
      <c r="A543" s="34"/>
      <c r="B543" s="76"/>
      <c r="C543" s="76"/>
      <c r="D543" s="187"/>
      <c r="E543" s="43"/>
      <c r="F543" s="43"/>
      <c r="G543" s="43"/>
      <c r="H543" s="43"/>
      <c r="I543" s="43"/>
      <c r="J543" s="43"/>
      <c r="K543" s="43"/>
      <c r="L543" s="43"/>
      <c r="M543" s="43"/>
      <c r="N543" s="37"/>
      <c r="O543" s="38"/>
      <c r="P543" s="34"/>
      <c r="Q543" s="34"/>
      <c r="R543" s="76"/>
      <c r="S543" s="40"/>
      <c r="T543" s="42"/>
      <c r="U543" s="42"/>
      <c r="V543" s="199"/>
      <c r="W543" s="200"/>
      <c r="X543" s="224"/>
      <c r="Y543" s="226"/>
      <c r="AA543" s="146"/>
    </row>
    <row r="544" spans="1:27" s="198" customFormat="1">
      <c r="A544" s="34"/>
      <c r="B544" s="76"/>
      <c r="C544" s="76"/>
      <c r="D544" s="187"/>
      <c r="E544" s="43"/>
      <c r="F544" s="43"/>
      <c r="G544" s="43"/>
      <c r="H544" s="43"/>
      <c r="I544" s="43"/>
      <c r="J544" s="43"/>
      <c r="K544" s="43"/>
      <c r="L544" s="43"/>
      <c r="M544" s="43"/>
      <c r="N544" s="37"/>
      <c r="O544" s="38"/>
      <c r="P544" s="34"/>
      <c r="Q544" s="34"/>
      <c r="R544" s="76"/>
      <c r="S544" s="40"/>
      <c r="T544" s="42"/>
      <c r="U544" s="42"/>
      <c r="V544" s="199"/>
      <c r="W544" s="200"/>
      <c r="X544" s="224"/>
      <c r="Y544" s="226"/>
      <c r="AA544" s="146"/>
    </row>
    <row r="545" spans="1:27" s="198" customFormat="1">
      <c r="A545" s="34"/>
      <c r="B545" s="76"/>
      <c r="C545" s="76"/>
      <c r="D545" s="187"/>
      <c r="E545" s="43"/>
      <c r="F545" s="43"/>
      <c r="G545" s="43"/>
      <c r="H545" s="43"/>
      <c r="I545" s="43"/>
      <c r="J545" s="43"/>
      <c r="K545" s="43"/>
      <c r="L545" s="43"/>
      <c r="M545" s="43"/>
      <c r="N545" s="37"/>
      <c r="O545" s="38"/>
      <c r="P545" s="34"/>
      <c r="Q545" s="34"/>
      <c r="R545" s="76"/>
      <c r="S545" s="40"/>
      <c r="T545" s="42"/>
      <c r="U545" s="42"/>
      <c r="V545" s="199"/>
      <c r="W545" s="200"/>
      <c r="X545" s="224"/>
      <c r="Y545" s="226"/>
      <c r="AA545" s="146"/>
    </row>
    <row r="546" spans="1:27" s="198" customFormat="1">
      <c r="A546" s="34"/>
      <c r="B546" s="76"/>
      <c r="C546" s="76"/>
      <c r="D546" s="187"/>
      <c r="E546" s="43"/>
      <c r="F546" s="43"/>
      <c r="G546" s="43"/>
      <c r="H546" s="43"/>
      <c r="I546" s="43"/>
      <c r="J546" s="43"/>
      <c r="K546" s="43"/>
      <c r="L546" s="43"/>
      <c r="M546" s="43"/>
      <c r="N546" s="37"/>
      <c r="O546" s="38"/>
      <c r="P546" s="34"/>
      <c r="Q546" s="34"/>
      <c r="R546" s="76"/>
      <c r="S546" s="40"/>
      <c r="T546" s="42"/>
      <c r="U546" s="42"/>
      <c r="V546" s="199"/>
      <c r="W546" s="200"/>
      <c r="X546" s="224"/>
      <c r="Y546" s="226"/>
      <c r="AA546" s="146"/>
    </row>
    <row r="547" spans="1:27" s="198" customFormat="1">
      <c r="A547" s="34"/>
      <c r="B547" s="76"/>
      <c r="C547" s="76"/>
      <c r="D547" s="187"/>
      <c r="E547" s="43"/>
      <c r="F547" s="43"/>
      <c r="G547" s="43"/>
      <c r="H547" s="43"/>
      <c r="I547" s="43"/>
      <c r="J547" s="43"/>
      <c r="K547" s="43"/>
      <c r="L547" s="43"/>
      <c r="M547" s="43"/>
      <c r="N547" s="37"/>
      <c r="O547" s="38"/>
      <c r="P547" s="34"/>
      <c r="Q547" s="34"/>
      <c r="R547" s="76"/>
      <c r="S547" s="40"/>
      <c r="T547" s="42"/>
      <c r="U547" s="42"/>
      <c r="V547" s="199"/>
      <c r="W547" s="200"/>
      <c r="X547" s="224"/>
      <c r="Y547" s="226"/>
      <c r="AA547" s="146"/>
    </row>
    <row r="548" spans="1:27" s="198" customFormat="1">
      <c r="A548" s="34"/>
      <c r="B548" s="76"/>
      <c r="C548" s="76"/>
      <c r="D548" s="187"/>
      <c r="E548" s="43"/>
      <c r="F548" s="43"/>
      <c r="G548" s="43"/>
      <c r="H548" s="43"/>
      <c r="I548" s="43"/>
      <c r="J548" s="43"/>
      <c r="K548" s="43"/>
      <c r="L548" s="43"/>
      <c r="M548" s="43"/>
      <c r="N548" s="37"/>
      <c r="O548" s="38"/>
      <c r="P548" s="34"/>
      <c r="Q548" s="34"/>
      <c r="R548" s="76"/>
      <c r="S548" s="40"/>
      <c r="T548" s="42"/>
      <c r="U548" s="42"/>
      <c r="V548" s="199"/>
      <c r="W548" s="200"/>
      <c r="X548" s="224"/>
      <c r="Y548" s="226"/>
      <c r="AA548" s="146"/>
    </row>
    <row r="549" spans="1:27" s="198" customFormat="1">
      <c r="A549" s="34"/>
      <c r="B549" s="76"/>
      <c r="C549" s="76"/>
      <c r="D549" s="187"/>
      <c r="E549" s="43"/>
      <c r="F549" s="43"/>
      <c r="G549" s="43"/>
      <c r="H549" s="43"/>
      <c r="I549" s="43"/>
      <c r="J549" s="43"/>
      <c r="K549" s="43"/>
      <c r="L549" s="43"/>
      <c r="M549" s="43"/>
      <c r="N549" s="37"/>
      <c r="O549" s="38"/>
      <c r="P549" s="34"/>
      <c r="Q549" s="34"/>
      <c r="R549" s="76"/>
      <c r="S549" s="40"/>
      <c r="T549" s="42"/>
      <c r="U549" s="42"/>
      <c r="V549" s="199"/>
      <c r="W549" s="200"/>
      <c r="X549" s="224"/>
      <c r="Y549" s="226"/>
      <c r="AA549" s="146"/>
    </row>
    <row r="550" spans="1:27" s="198" customFormat="1">
      <c r="A550" s="34"/>
      <c r="B550" s="76"/>
      <c r="C550" s="76"/>
      <c r="D550" s="187"/>
      <c r="E550" s="43"/>
      <c r="F550" s="43"/>
      <c r="G550" s="43"/>
      <c r="H550" s="43"/>
      <c r="I550" s="43"/>
      <c r="J550" s="43"/>
      <c r="K550" s="43"/>
      <c r="L550" s="43"/>
      <c r="M550" s="43"/>
      <c r="N550" s="37"/>
      <c r="O550" s="38"/>
      <c r="P550" s="34"/>
      <c r="Q550" s="34"/>
      <c r="R550" s="76"/>
      <c r="S550" s="40"/>
      <c r="T550" s="42"/>
      <c r="U550" s="42"/>
      <c r="V550" s="199"/>
      <c r="W550" s="200"/>
      <c r="X550" s="224"/>
      <c r="Y550" s="226"/>
      <c r="AA550" s="146"/>
    </row>
    <row r="551" spans="1:27" s="198" customFormat="1">
      <c r="A551" s="34"/>
      <c r="B551" s="76"/>
      <c r="C551" s="76"/>
      <c r="D551" s="187"/>
      <c r="E551" s="43"/>
      <c r="F551" s="43"/>
      <c r="G551" s="43"/>
      <c r="H551" s="43"/>
      <c r="I551" s="43"/>
      <c r="J551" s="43"/>
      <c r="K551" s="43"/>
      <c r="L551" s="43"/>
      <c r="M551" s="43"/>
      <c r="N551" s="37"/>
      <c r="O551" s="38"/>
      <c r="P551" s="34"/>
      <c r="Q551" s="34"/>
      <c r="R551" s="76"/>
      <c r="S551" s="40"/>
      <c r="T551" s="42"/>
      <c r="U551" s="42"/>
      <c r="V551" s="199"/>
      <c r="W551" s="200"/>
      <c r="X551" s="224"/>
      <c r="Y551" s="226"/>
      <c r="AA551" s="146"/>
    </row>
    <row r="552" spans="1:27" s="198" customFormat="1">
      <c r="A552" s="34"/>
      <c r="B552" s="76"/>
      <c r="C552" s="76"/>
      <c r="D552" s="187"/>
      <c r="E552" s="43"/>
      <c r="F552" s="43"/>
      <c r="G552" s="43"/>
      <c r="H552" s="43"/>
      <c r="I552" s="43"/>
      <c r="J552" s="43"/>
      <c r="K552" s="43"/>
      <c r="L552" s="43"/>
      <c r="M552" s="43"/>
      <c r="N552" s="37"/>
      <c r="O552" s="38"/>
      <c r="P552" s="34"/>
      <c r="Q552" s="34"/>
      <c r="R552" s="76"/>
      <c r="S552" s="40"/>
      <c r="T552" s="42"/>
      <c r="U552" s="42"/>
      <c r="V552" s="199"/>
      <c r="W552" s="200"/>
      <c r="X552" s="224"/>
      <c r="Y552" s="226"/>
      <c r="AA552" s="146"/>
    </row>
    <row r="553" spans="1:27" s="198" customFormat="1">
      <c r="A553" s="34"/>
      <c r="B553" s="76"/>
      <c r="C553" s="76"/>
      <c r="D553" s="187"/>
      <c r="E553" s="43"/>
      <c r="F553" s="43"/>
      <c r="G553" s="43"/>
      <c r="H553" s="43"/>
      <c r="I553" s="43"/>
      <c r="J553" s="43"/>
      <c r="K553" s="43"/>
      <c r="L553" s="43"/>
      <c r="M553" s="43"/>
      <c r="N553" s="37"/>
      <c r="O553" s="38"/>
      <c r="P553" s="34"/>
      <c r="Q553" s="34"/>
      <c r="R553" s="76"/>
      <c r="S553" s="40"/>
      <c r="T553" s="42"/>
      <c r="U553" s="42"/>
      <c r="V553" s="199"/>
      <c r="W553" s="200"/>
      <c r="X553" s="224"/>
      <c r="Y553" s="226"/>
      <c r="AA553" s="146"/>
    </row>
    <row r="554" spans="1:27" s="198" customFormat="1">
      <c r="A554" s="34"/>
      <c r="B554" s="76"/>
      <c r="C554" s="76"/>
      <c r="D554" s="187"/>
      <c r="E554" s="43"/>
      <c r="F554" s="43"/>
      <c r="G554" s="43"/>
      <c r="H554" s="43"/>
      <c r="I554" s="43"/>
      <c r="J554" s="43"/>
      <c r="K554" s="43"/>
      <c r="L554" s="43"/>
      <c r="M554" s="43"/>
      <c r="N554" s="37"/>
      <c r="O554" s="38"/>
      <c r="P554" s="34"/>
      <c r="Q554" s="34"/>
      <c r="R554" s="76"/>
      <c r="S554" s="40"/>
      <c r="T554" s="42"/>
      <c r="U554" s="42"/>
      <c r="V554" s="199"/>
      <c r="W554" s="200"/>
      <c r="X554" s="224"/>
      <c r="Y554" s="226"/>
      <c r="AA554" s="146"/>
    </row>
    <row r="555" spans="1:27" s="198" customFormat="1">
      <c r="A555" s="34"/>
      <c r="B555" s="76"/>
      <c r="C555" s="76"/>
      <c r="D555" s="187"/>
      <c r="E555" s="43"/>
      <c r="F555" s="43"/>
      <c r="G555" s="43"/>
      <c r="H555" s="43"/>
      <c r="I555" s="43"/>
      <c r="J555" s="43"/>
      <c r="K555" s="43"/>
      <c r="L555" s="43"/>
      <c r="M555" s="43"/>
      <c r="N555" s="37"/>
      <c r="O555" s="38"/>
      <c r="P555" s="34"/>
      <c r="Q555" s="34"/>
      <c r="R555" s="76"/>
      <c r="S555" s="40"/>
      <c r="T555" s="42"/>
      <c r="U555" s="42"/>
      <c r="V555" s="199"/>
      <c r="W555" s="200"/>
      <c r="X555" s="224"/>
      <c r="Y555" s="226"/>
      <c r="AA555" s="146"/>
    </row>
    <row r="556" spans="1:27" s="198" customFormat="1">
      <c r="A556" s="34"/>
      <c r="B556" s="76"/>
      <c r="C556" s="76"/>
      <c r="D556" s="187"/>
      <c r="E556" s="43"/>
      <c r="F556" s="43"/>
      <c r="G556" s="43"/>
      <c r="H556" s="43"/>
      <c r="I556" s="43"/>
      <c r="J556" s="43"/>
      <c r="K556" s="43"/>
      <c r="L556" s="43"/>
      <c r="M556" s="43"/>
      <c r="N556" s="37"/>
      <c r="O556" s="38"/>
      <c r="P556" s="34"/>
      <c r="Q556" s="34"/>
      <c r="R556" s="76"/>
      <c r="S556" s="40"/>
      <c r="T556" s="42"/>
      <c r="U556" s="42"/>
      <c r="V556" s="199"/>
      <c r="W556" s="200"/>
      <c r="X556" s="224"/>
      <c r="Y556" s="226"/>
      <c r="AA556" s="146"/>
    </row>
    <row r="557" spans="1:27" s="198" customFormat="1">
      <c r="A557" s="34"/>
      <c r="B557" s="76"/>
      <c r="C557" s="76"/>
      <c r="D557" s="187"/>
      <c r="E557" s="43"/>
      <c r="F557" s="43"/>
      <c r="G557" s="43"/>
      <c r="H557" s="43"/>
      <c r="I557" s="43"/>
      <c r="J557" s="43"/>
      <c r="K557" s="43"/>
      <c r="L557" s="43"/>
      <c r="M557" s="43"/>
      <c r="N557" s="37"/>
      <c r="O557" s="38"/>
      <c r="P557" s="34"/>
      <c r="Q557" s="34"/>
      <c r="R557" s="76"/>
      <c r="S557" s="40"/>
      <c r="T557" s="42"/>
      <c r="U557" s="42"/>
      <c r="V557" s="199"/>
      <c r="W557" s="200"/>
      <c r="X557" s="224"/>
      <c r="Y557" s="226"/>
      <c r="AA557" s="146"/>
    </row>
    <row r="558" spans="1:27" s="198" customFormat="1">
      <c r="A558" s="34"/>
      <c r="B558" s="76"/>
      <c r="C558" s="76"/>
      <c r="D558" s="187"/>
      <c r="E558" s="43"/>
      <c r="F558" s="43"/>
      <c r="G558" s="43"/>
      <c r="H558" s="43"/>
      <c r="I558" s="43"/>
      <c r="J558" s="43"/>
      <c r="K558" s="43"/>
      <c r="L558" s="43"/>
      <c r="M558" s="43"/>
      <c r="N558" s="37"/>
      <c r="O558" s="38"/>
      <c r="P558" s="34"/>
      <c r="Q558" s="34"/>
      <c r="R558" s="76"/>
      <c r="S558" s="40"/>
      <c r="T558" s="42"/>
      <c r="U558" s="42"/>
      <c r="V558" s="199"/>
      <c r="W558" s="200"/>
      <c r="X558" s="224"/>
      <c r="Y558" s="226"/>
      <c r="AA558" s="146"/>
    </row>
    <row r="559" spans="1:27" s="198" customFormat="1">
      <c r="A559" s="34"/>
      <c r="B559" s="76"/>
      <c r="C559" s="76"/>
      <c r="D559" s="187"/>
      <c r="E559" s="43"/>
      <c r="F559" s="43"/>
      <c r="G559" s="43"/>
      <c r="H559" s="43"/>
      <c r="I559" s="43"/>
      <c r="J559" s="43"/>
      <c r="K559" s="43"/>
      <c r="L559" s="43"/>
      <c r="M559" s="43"/>
      <c r="N559" s="37"/>
      <c r="O559" s="38"/>
      <c r="P559" s="34"/>
      <c r="Q559" s="34"/>
      <c r="R559" s="76"/>
      <c r="S559" s="40"/>
      <c r="T559" s="42"/>
      <c r="U559" s="42"/>
      <c r="V559" s="199"/>
      <c r="W559" s="200"/>
      <c r="X559" s="224"/>
      <c r="Y559" s="226"/>
      <c r="AA559" s="146"/>
    </row>
    <row r="560" spans="1:27" s="198" customFormat="1">
      <c r="A560" s="34"/>
      <c r="B560" s="76"/>
      <c r="C560" s="76"/>
      <c r="D560" s="187"/>
      <c r="E560" s="43"/>
      <c r="F560" s="43"/>
      <c r="G560" s="43"/>
      <c r="H560" s="43"/>
      <c r="I560" s="43"/>
      <c r="J560" s="43"/>
      <c r="K560" s="43"/>
      <c r="L560" s="43"/>
      <c r="M560" s="43"/>
      <c r="N560" s="37"/>
      <c r="O560" s="38"/>
      <c r="P560" s="34"/>
      <c r="Q560" s="34"/>
      <c r="R560" s="76"/>
      <c r="S560" s="40"/>
      <c r="T560" s="42"/>
      <c r="U560" s="42"/>
      <c r="V560" s="199"/>
      <c r="W560" s="200"/>
      <c r="X560" s="224"/>
      <c r="Y560" s="226"/>
      <c r="AA560" s="146"/>
    </row>
    <row r="561" spans="1:27" s="198" customFormat="1">
      <c r="A561" s="34"/>
      <c r="B561" s="76"/>
      <c r="C561" s="76"/>
      <c r="D561" s="187"/>
      <c r="E561" s="43"/>
      <c r="F561" s="43"/>
      <c r="G561" s="43"/>
      <c r="H561" s="43"/>
      <c r="I561" s="43"/>
      <c r="J561" s="43"/>
      <c r="K561" s="43"/>
      <c r="L561" s="43"/>
      <c r="M561" s="43"/>
      <c r="N561" s="37"/>
      <c r="O561" s="38"/>
      <c r="P561" s="34"/>
      <c r="Q561" s="34"/>
      <c r="R561" s="76"/>
      <c r="S561" s="40"/>
      <c r="T561" s="42"/>
      <c r="U561" s="42"/>
      <c r="V561" s="199"/>
      <c r="W561" s="200"/>
      <c r="X561" s="224"/>
      <c r="Y561" s="226"/>
      <c r="AA561" s="146"/>
    </row>
    <row r="562" spans="1:27" s="198" customFormat="1">
      <c r="A562" s="34"/>
      <c r="B562" s="76"/>
      <c r="C562" s="76"/>
      <c r="D562" s="187"/>
      <c r="E562" s="43"/>
      <c r="F562" s="43"/>
      <c r="G562" s="43"/>
      <c r="H562" s="43"/>
      <c r="I562" s="43"/>
      <c r="J562" s="43"/>
      <c r="K562" s="43"/>
      <c r="L562" s="43"/>
      <c r="M562" s="43"/>
      <c r="N562" s="37"/>
      <c r="O562" s="38"/>
      <c r="P562" s="34"/>
      <c r="Q562" s="34"/>
      <c r="R562" s="76"/>
      <c r="S562" s="40"/>
      <c r="T562" s="42"/>
      <c r="U562" s="42"/>
      <c r="V562" s="199"/>
      <c r="W562" s="200"/>
      <c r="X562" s="224"/>
      <c r="Y562" s="226"/>
      <c r="AA562" s="146"/>
    </row>
    <row r="563" spans="1:27" s="198" customFormat="1">
      <c r="A563" s="34"/>
      <c r="B563" s="76"/>
      <c r="C563" s="76"/>
      <c r="D563" s="187"/>
      <c r="E563" s="43"/>
      <c r="F563" s="43"/>
      <c r="G563" s="43"/>
      <c r="H563" s="43"/>
      <c r="I563" s="43"/>
      <c r="J563" s="43"/>
      <c r="K563" s="43"/>
      <c r="L563" s="43"/>
      <c r="M563" s="43"/>
      <c r="N563" s="37"/>
      <c r="O563" s="38"/>
      <c r="P563" s="34"/>
      <c r="Q563" s="34"/>
      <c r="R563" s="76"/>
      <c r="S563" s="40"/>
      <c r="T563" s="42"/>
      <c r="U563" s="42"/>
      <c r="V563" s="199"/>
      <c r="W563" s="200"/>
      <c r="X563" s="224"/>
      <c r="Y563" s="226"/>
      <c r="AA563" s="146"/>
    </row>
    <row r="564" spans="1:27" s="198" customFormat="1">
      <c r="A564" s="34"/>
      <c r="B564" s="76"/>
      <c r="C564" s="76"/>
      <c r="D564" s="187"/>
      <c r="E564" s="43"/>
      <c r="F564" s="43"/>
      <c r="G564" s="43"/>
      <c r="H564" s="43"/>
      <c r="I564" s="43"/>
      <c r="J564" s="43"/>
      <c r="K564" s="43"/>
      <c r="L564" s="43"/>
      <c r="M564" s="43"/>
      <c r="N564" s="37"/>
      <c r="O564" s="38"/>
      <c r="P564" s="34"/>
      <c r="Q564" s="34"/>
      <c r="R564" s="76"/>
      <c r="S564" s="40"/>
      <c r="T564" s="42"/>
      <c r="U564" s="42"/>
      <c r="V564" s="199"/>
      <c r="W564" s="200"/>
      <c r="X564" s="224"/>
      <c r="Y564" s="226"/>
      <c r="AA564" s="146"/>
    </row>
    <row r="565" spans="1:27" s="198" customFormat="1">
      <c r="A565" s="34"/>
      <c r="B565" s="76"/>
      <c r="C565" s="76"/>
      <c r="D565" s="187"/>
      <c r="E565" s="43"/>
      <c r="F565" s="43"/>
      <c r="G565" s="43"/>
      <c r="H565" s="43"/>
      <c r="I565" s="43"/>
      <c r="J565" s="43"/>
      <c r="K565" s="43"/>
      <c r="L565" s="43"/>
      <c r="M565" s="43"/>
      <c r="N565" s="37"/>
      <c r="O565" s="38"/>
      <c r="P565" s="34"/>
      <c r="Q565" s="34"/>
      <c r="R565" s="76"/>
      <c r="S565" s="40"/>
      <c r="T565" s="42"/>
      <c r="U565" s="42"/>
      <c r="V565" s="199"/>
      <c r="W565" s="200"/>
      <c r="X565" s="224"/>
      <c r="Y565" s="226"/>
      <c r="AA565" s="146"/>
    </row>
    <row r="566" spans="1:27" s="198" customFormat="1">
      <c r="A566" s="34"/>
      <c r="B566" s="76"/>
      <c r="C566" s="76"/>
      <c r="D566" s="187"/>
      <c r="E566" s="43"/>
      <c r="F566" s="43"/>
      <c r="G566" s="43"/>
      <c r="H566" s="43"/>
      <c r="I566" s="43"/>
      <c r="J566" s="43"/>
      <c r="K566" s="43"/>
      <c r="L566" s="43"/>
      <c r="M566" s="43"/>
      <c r="N566" s="37"/>
      <c r="O566" s="38"/>
      <c r="P566" s="34"/>
      <c r="Q566" s="34"/>
      <c r="R566" s="76"/>
      <c r="S566" s="40"/>
      <c r="T566" s="42"/>
      <c r="U566" s="42"/>
      <c r="V566" s="199"/>
      <c r="W566" s="200"/>
      <c r="X566" s="224"/>
      <c r="Y566" s="226"/>
      <c r="AA566" s="146"/>
    </row>
    <row r="567" spans="1:27" s="198" customFormat="1">
      <c r="A567" s="34"/>
      <c r="B567" s="76"/>
      <c r="C567" s="76"/>
      <c r="D567" s="187"/>
      <c r="E567" s="43"/>
      <c r="F567" s="43"/>
      <c r="G567" s="43"/>
      <c r="H567" s="43"/>
      <c r="I567" s="43"/>
      <c r="J567" s="43"/>
      <c r="K567" s="43"/>
      <c r="L567" s="43"/>
      <c r="M567" s="43"/>
      <c r="N567" s="37"/>
      <c r="O567" s="38"/>
      <c r="P567" s="34"/>
      <c r="Q567" s="34"/>
      <c r="R567" s="76"/>
      <c r="S567" s="40"/>
      <c r="T567" s="42"/>
      <c r="U567" s="42"/>
      <c r="V567" s="199"/>
      <c r="W567" s="200"/>
      <c r="X567" s="224"/>
      <c r="Y567" s="226"/>
      <c r="AA567" s="146"/>
    </row>
    <row r="568" spans="1:27" s="198" customFormat="1">
      <c r="A568" s="34"/>
      <c r="B568" s="76"/>
      <c r="C568" s="76"/>
      <c r="D568" s="187"/>
      <c r="E568" s="43"/>
      <c r="F568" s="43"/>
      <c r="G568" s="43"/>
      <c r="H568" s="43"/>
      <c r="I568" s="43"/>
      <c r="J568" s="43"/>
      <c r="K568" s="43"/>
      <c r="L568" s="43"/>
      <c r="M568" s="43"/>
      <c r="N568" s="37"/>
      <c r="O568" s="38"/>
      <c r="P568" s="34"/>
      <c r="Q568" s="34"/>
      <c r="R568" s="76"/>
      <c r="S568" s="40"/>
      <c r="T568" s="42"/>
      <c r="U568" s="42"/>
      <c r="V568" s="199"/>
      <c r="W568" s="200"/>
      <c r="X568" s="224"/>
      <c r="Y568" s="226"/>
      <c r="AA568" s="146"/>
    </row>
    <row r="569" spans="1:27" s="198" customFormat="1">
      <c r="A569" s="34"/>
      <c r="B569" s="76"/>
      <c r="C569" s="76"/>
      <c r="D569" s="187"/>
      <c r="E569" s="43"/>
      <c r="F569" s="43"/>
      <c r="G569" s="43"/>
      <c r="H569" s="43"/>
      <c r="I569" s="43"/>
      <c r="J569" s="43"/>
      <c r="K569" s="43"/>
      <c r="L569" s="43"/>
      <c r="M569" s="43"/>
      <c r="N569" s="37"/>
      <c r="O569" s="38"/>
      <c r="P569" s="34"/>
      <c r="Q569" s="34"/>
      <c r="R569" s="76"/>
      <c r="S569" s="40"/>
      <c r="T569" s="42"/>
      <c r="U569" s="42"/>
      <c r="V569" s="199"/>
      <c r="W569" s="200"/>
      <c r="X569" s="224"/>
      <c r="Y569" s="226"/>
      <c r="AA569" s="146"/>
    </row>
    <row r="570" spans="1:27" s="198" customFormat="1">
      <c r="A570" s="34"/>
      <c r="B570" s="76"/>
      <c r="C570" s="76"/>
      <c r="D570" s="187"/>
      <c r="E570" s="43"/>
      <c r="F570" s="43"/>
      <c r="G570" s="43"/>
      <c r="H570" s="43"/>
      <c r="I570" s="43"/>
      <c r="J570" s="43"/>
      <c r="K570" s="43"/>
      <c r="L570" s="43"/>
      <c r="M570" s="43"/>
      <c r="N570" s="37"/>
      <c r="O570" s="38"/>
      <c r="P570" s="34"/>
      <c r="Q570" s="34"/>
      <c r="R570" s="76"/>
      <c r="S570" s="40"/>
      <c r="T570" s="42"/>
      <c r="U570" s="42"/>
      <c r="V570" s="199"/>
      <c r="W570" s="200"/>
      <c r="X570" s="224"/>
      <c r="Y570" s="226"/>
      <c r="AA570" s="146"/>
    </row>
    <row r="571" spans="1:27" s="198" customFormat="1">
      <c r="A571" s="34"/>
      <c r="B571" s="76"/>
      <c r="C571" s="76"/>
      <c r="D571" s="187"/>
      <c r="E571" s="43"/>
      <c r="F571" s="43"/>
      <c r="G571" s="43"/>
      <c r="H571" s="43"/>
      <c r="I571" s="43"/>
      <c r="J571" s="43"/>
      <c r="K571" s="43"/>
      <c r="L571" s="43"/>
      <c r="M571" s="43"/>
      <c r="N571" s="37"/>
      <c r="O571" s="38"/>
      <c r="P571" s="34"/>
      <c r="Q571" s="34"/>
      <c r="R571" s="76"/>
      <c r="S571" s="40"/>
      <c r="T571" s="42"/>
      <c r="U571" s="42"/>
      <c r="V571" s="199"/>
      <c r="W571" s="200"/>
      <c r="X571" s="224"/>
      <c r="Y571" s="226"/>
      <c r="AA571" s="146"/>
    </row>
    <row r="572" spans="1:27" s="198" customFormat="1">
      <c r="A572" s="34"/>
      <c r="B572" s="76"/>
      <c r="C572" s="76"/>
      <c r="D572" s="187"/>
      <c r="E572" s="43"/>
      <c r="F572" s="43"/>
      <c r="G572" s="43"/>
      <c r="H572" s="43"/>
      <c r="I572" s="43"/>
      <c r="J572" s="43"/>
      <c r="K572" s="43"/>
      <c r="L572" s="43"/>
      <c r="M572" s="43"/>
      <c r="N572" s="37"/>
      <c r="O572" s="38"/>
      <c r="P572" s="34"/>
      <c r="Q572" s="34"/>
      <c r="R572" s="76"/>
      <c r="S572" s="40"/>
      <c r="T572" s="42"/>
      <c r="U572" s="42"/>
      <c r="V572" s="199"/>
      <c r="W572" s="200"/>
      <c r="X572" s="224"/>
      <c r="Y572" s="226"/>
      <c r="AA572" s="146"/>
    </row>
    <row r="573" spans="1:27" s="198" customFormat="1">
      <c r="A573" s="34"/>
      <c r="B573" s="76"/>
      <c r="C573" s="76"/>
      <c r="D573" s="187"/>
      <c r="E573" s="43"/>
      <c r="F573" s="43"/>
      <c r="G573" s="43"/>
      <c r="H573" s="43"/>
      <c r="I573" s="43"/>
      <c r="J573" s="43"/>
      <c r="K573" s="43"/>
      <c r="L573" s="43"/>
      <c r="M573" s="43"/>
      <c r="N573" s="37"/>
      <c r="O573" s="38"/>
      <c r="P573" s="34"/>
      <c r="Q573" s="34"/>
      <c r="R573" s="76"/>
      <c r="S573" s="40"/>
      <c r="T573" s="42"/>
      <c r="U573" s="42"/>
      <c r="V573" s="199"/>
      <c r="W573" s="200"/>
      <c r="X573" s="224"/>
      <c r="Y573" s="226"/>
      <c r="AA573" s="146"/>
    </row>
    <row r="574" spans="1:27" s="198" customFormat="1">
      <c r="A574" s="34"/>
      <c r="B574" s="76"/>
      <c r="C574" s="76"/>
      <c r="D574" s="187"/>
      <c r="E574" s="43"/>
      <c r="F574" s="43"/>
      <c r="G574" s="43"/>
      <c r="H574" s="43"/>
      <c r="I574" s="43"/>
      <c r="J574" s="43"/>
      <c r="K574" s="43"/>
      <c r="L574" s="43"/>
      <c r="M574" s="43"/>
      <c r="N574" s="37"/>
      <c r="O574" s="38"/>
      <c r="P574" s="34"/>
      <c r="Q574" s="34"/>
      <c r="R574" s="76"/>
      <c r="S574" s="40"/>
      <c r="T574" s="42"/>
      <c r="U574" s="42"/>
      <c r="V574" s="199"/>
      <c r="W574" s="200"/>
      <c r="X574" s="224"/>
      <c r="Y574" s="226"/>
      <c r="AA574" s="146"/>
    </row>
    <row r="575" spans="1:27" s="198" customFormat="1">
      <c r="A575" s="34"/>
      <c r="B575" s="76"/>
      <c r="C575" s="76"/>
      <c r="D575" s="187"/>
      <c r="E575" s="43"/>
      <c r="F575" s="43"/>
      <c r="G575" s="43"/>
      <c r="H575" s="43"/>
      <c r="I575" s="43"/>
      <c r="J575" s="43"/>
      <c r="K575" s="43"/>
      <c r="L575" s="43"/>
      <c r="M575" s="43"/>
      <c r="N575" s="37"/>
      <c r="O575" s="38"/>
      <c r="P575" s="34"/>
      <c r="Q575" s="34"/>
      <c r="R575" s="76"/>
      <c r="S575" s="40"/>
      <c r="T575" s="42"/>
      <c r="U575" s="42"/>
      <c r="V575" s="199"/>
      <c r="W575" s="200"/>
      <c r="X575" s="224"/>
      <c r="Y575" s="226"/>
      <c r="AA575" s="146"/>
    </row>
    <row r="576" spans="1:27" s="198" customFormat="1">
      <c r="A576" s="34"/>
      <c r="B576" s="76"/>
      <c r="C576" s="76"/>
      <c r="D576" s="187"/>
      <c r="E576" s="43"/>
      <c r="F576" s="43"/>
      <c r="G576" s="43"/>
      <c r="H576" s="43"/>
      <c r="I576" s="43"/>
      <c r="J576" s="43"/>
      <c r="K576" s="43"/>
      <c r="L576" s="43"/>
      <c r="M576" s="43"/>
      <c r="N576" s="37"/>
      <c r="O576" s="38"/>
      <c r="P576" s="34"/>
      <c r="Q576" s="34"/>
      <c r="R576" s="76"/>
      <c r="S576" s="40"/>
      <c r="T576" s="42"/>
      <c r="U576" s="42"/>
      <c r="V576" s="199"/>
      <c r="W576" s="200"/>
      <c r="X576" s="224"/>
      <c r="Y576" s="226"/>
      <c r="AA576" s="146"/>
    </row>
    <row r="577" spans="1:27">
      <c r="A577" s="34"/>
      <c r="B577" s="76"/>
      <c r="C577" s="76"/>
      <c r="D577" s="187"/>
      <c r="E577" s="43"/>
      <c r="F577" s="43"/>
      <c r="G577" s="43"/>
      <c r="H577" s="43"/>
      <c r="I577" s="43"/>
      <c r="J577" s="43"/>
      <c r="K577" s="43"/>
      <c r="L577" s="43"/>
      <c r="M577" s="43"/>
      <c r="N577" s="37"/>
      <c r="O577" s="38"/>
      <c r="P577" s="34"/>
      <c r="Q577" s="34"/>
      <c r="R577" s="76"/>
      <c r="S577" s="40"/>
      <c r="T577" s="42"/>
      <c r="U577" s="42"/>
    </row>
    <row r="578" spans="1:27">
      <c r="A578" s="34"/>
      <c r="B578" s="76"/>
      <c r="C578" s="76"/>
      <c r="D578" s="187"/>
      <c r="E578" s="43"/>
      <c r="F578" s="43"/>
      <c r="G578" s="43"/>
      <c r="H578" s="43"/>
      <c r="I578" s="43"/>
      <c r="J578" s="43"/>
      <c r="K578" s="43"/>
      <c r="L578" s="43"/>
      <c r="M578" s="43"/>
      <c r="N578" s="37"/>
      <c r="O578" s="38"/>
      <c r="P578" s="34"/>
      <c r="Q578" s="34"/>
      <c r="R578" s="76"/>
      <c r="S578" s="40"/>
      <c r="T578" s="42"/>
      <c r="U578" s="42"/>
    </row>
    <row r="579" spans="1:27">
      <c r="A579" s="34"/>
      <c r="B579" s="76"/>
      <c r="C579" s="76"/>
      <c r="D579" s="187"/>
      <c r="E579" s="43"/>
      <c r="F579" s="43"/>
      <c r="G579" s="43"/>
      <c r="H579" s="43"/>
      <c r="I579" s="43"/>
      <c r="J579" s="43"/>
      <c r="K579" s="43"/>
      <c r="L579" s="43"/>
      <c r="M579" s="43"/>
      <c r="N579" s="37"/>
      <c r="O579" s="38"/>
      <c r="P579" s="34"/>
      <c r="Q579" s="34"/>
      <c r="R579" s="76"/>
      <c r="S579" s="40"/>
      <c r="T579" s="42"/>
      <c r="U579" s="42"/>
    </row>
    <row r="580" spans="1:27">
      <c r="A580" s="34"/>
      <c r="B580" s="76"/>
      <c r="C580" s="76"/>
      <c r="D580" s="187"/>
      <c r="E580" s="43"/>
      <c r="F580" s="43"/>
      <c r="G580" s="43"/>
      <c r="H580" s="43"/>
      <c r="I580" s="43"/>
      <c r="J580" s="43"/>
      <c r="K580" s="43"/>
      <c r="L580" s="43"/>
      <c r="M580" s="43"/>
      <c r="N580" s="37"/>
      <c r="O580" s="38"/>
      <c r="P580" s="34"/>
      <c r="Q580" s="34"/>
      <c r="R580" s="76"/>
      <c r="S580" s="40"/>
      <c r="T580" s="42"/>
      <c r="U580" s="42"/>
    </row>
    <row r="581" spans="1:27">
      <c r="A581" s="34"/>
      <c r="B581" s="76"/>
      <c r="C581" s="76"/>
      <c r="D581" s="187"/>
      <c r="E581" s="43"/>
      <c r="F581" s="43"/>
      <c r="G581" s="43"/>
      <c r="H581" s="43"/>
      <c r="I581" s="43"/>
      <c r="J581" s="43"/>
      <c r="K581" s="43"/>
      <c r="L581" s="43"/>
      <c r="M581" s="43"/>
      <c r="N581" s="37"/>
      <c r="O581" s="38"/>
      <c r="P581" s="34"/>
      <c r="Q581" s="34"/>
      <c r="R581" s="76"/>
      <c r="S581" s="40"/>
      <c r="T581" s="42"/>
      <c r="U581" s="42"/>
    </row>
    <row r="582" spans="1:27">
      <c r="A582" s="34"/>
      <c r="B582" s="76"/>
      <c r="C582" s="76"/>
      <c r="D582" s="187"/>
      <c r="E582" s="43"/>
      <c r="F582" s="43"/>
      <c r="G582" s="43"/>
      <c r="H582" s="43"/>
      <c r="I582" s="43"/>
      <c r="J582" s="43"/>
      <c r="K582" s="43"/>
      <c r="L582" s="43"/>
      <c r="M582" s="43"/>
      <c r="N582" s="37"/>
      <c r="O582" s="38"/>
      <c r="P582" s="34"/>
      <c r="Q582" s="34"/>
      <c r="R582" s="76"/>
      <c r="S582" s="40"/>
      <c r="T582" s="42"/>
      <c r="U582" s="42"/>
    </row>
    <row r="583" spans="1:27">
      <c r="A583" s="34"/>
      <c r="B583" s="76"/>
      <c r="C583" s="76"/>
      <c r="D583" s="187"/>
      <c r="E583" s="43"/>
      <c r="F583" s="43"/>
      <c r="G583" s="43"/>
      <c r="H583" s="43"/>
      <c r="I583" s="43"/>
      <c r="J583" s="43"/>
      <c r="K583" s="43"/>
      <c r="L583" s="43"/>
      <c r="M583" s="43"/>
      <c r="N583" s="37"/>
      <c r="O583" s="38"/>
      <c r="P583" s="34"/>
      <c r="Q583" s="34"/>
      <c r="R583" s="76"/>
      <c r="S583" s="40"/>
      <c r="T583" s="42"/>
      <c r="U583" s="42"/>
    </row>
    <row r="584" spans="1:27">
      <c r="A584" s="34"/>
      <c r="B584" s="76"/>
      <c r="C584" s="76"/>
      <c r="D584" s="187"/>
      <c r="E584" s="43"/>
      <c r="F584" s="43"/>
      <c r="G584" s="43"/>
      <c r="H584" s="43"/>
      <c r="I584" s="43"/>
      <c r="J584" s="43"/>
      <c r="K584" s="43"/>
      <c r="L584" s="43"/>
      <c r="M584" s="43"/>
      <c r="N584" s="37"/>
      <c r="O584" s="38"/>
      <c r="P584" s="34"/>
      <c r="Q584" s="34"/>
      <c r="R584" s="76"/>
      <c r="S584" s="40"/>
      <c r="T584" s="42"/>
      <c r="U584" s="42"/>
    </row>
    <row r="585" spans="1:27" s="95" customFormat="1">
      <c r="A585" s="34"/>
      <c r="B585" s="76"/>
      <c r="C585" s="76"/>
      <c r="D585" s="187"/>
      <c r="E585" s="43"/>
      <c r="F585" s="43"/>
      <c r="G585" s="43"/>
      <c r="H585" s="43"/>
      <c r="I585" s="43"/>
      <c r="J585" s="43"/>
      <c r="K585" s="43"/>
      <c r="L585" s="43"/>
      <c r="M585" s="43"/>
      <c r="N585" s="37"/>
      <c r="O585" s="38"/>
      <c r="P585" s="34"/>
      <c r="Q585" s="34"/>
      <c r="R585" s="76"/>
      <c r="S585" s="40"/>
      <c r="T585" s="42"/>
      <c r="U585" s="42"/>
      <c r="W585" s="96"/>
      <c r="X585" s="223"/>
      <c r="Y585" s="98"/>
      <c r="Z585" s="97"/>
      <c r="AA585" s="99"/>
    </row>
    <row r="586" spans="1:27" s="95" customFormat="1">
      <c r="A586" s="34"/>
      <c r="B586" s="76"/>
      <c r="C586" s="76"/>
      <c r="D586" s="187"/>
      <c r="E586" s="43"/>
      <c r="F586" s="43"/>
      <c r="G586" s="43"/>
      <c r="H586" s="43"/>
      <c r="I586" s="43"/>
      <c r="J586" s="43"/>
      <c r="K586" s="43"/>
      <c r="L586" s="43"/>
      <c r="M586" s="43"/>
      <c r="N586" s="37"/>
      <c r="O586" s="38"/>
      <c r="P586" s="34"/>
      <c r="Q586" s="34"/>
      <c r="R586" s="76"/>
      <c r="S586" s="40"/>
      <c r="T586" s="42"/>
      <c r="U586" s="42"/>
      <c r="W586" s="96"/>
      <c r="X586" s="223"/>
      <c r="Y586" s="98"/>
      <c r="Z586" s="97"/>
      <c r="AA586" s="99"/>
    </row>
    <row r="587" spans="1:27" s="95" customFormat="1">
      <c r="A587" s="34"/>
      <c r="B587" s="76"/>
      <c r="C587" s="76"/>
      <c r="D587" s="187"/>
      <c r="E587" s="43"/>
      <c r="F587" s="43"/>
      <c r="G587" s="43"/>
      <c r="H587" s="43"/>
      <c r="I587" s="43"/>
      <c r="J587" s="43"/>
      <c r="K587" s="43"/>
      <c r="L587" s="43"/>
      <c r="M587" s="43"/>
      <c r="N587" s="37"/>
      <c r="O587" s="38"/>
      <c r="P587" s="34"/>
      <c r="Q587" s="34"/>
      <c r="R587" s="76"/>
      <c r="S587" s="40"/>
      <c r="T587" s="42"/>
      <c r="U587" s="42"/>
      <c r="W587" s="96"/>
      <c r="X587" s="223"/>
      <c r="Y587" s="98"/>
      <c r="Z587" s="97"/>
      <c r="AA587" s="99"/>
    </row>
    <row r="588" spans="1:27" s="95" customFormat="1">
      <c r="A588" s="34"/>
      <c r="B588" s="76"/>
      <c r="C588" s="76"/>
      <c r="D588" s="187"/>
      <c r="E588" s="43"/>
      <c r="F588" s="43"/>
      <c r="G588" s="43"/>
      <c r="H588" s="43"/>
      <c r="I588" s="43"/>
      <c r="J588" s="43"/>
      <c r="K588" s="43"/>
      <c r="L588" s="43"/>
      <c r="M588" s="43"/>
      <c r="N588" s="37"/>
      <c r="O588" s="38"/>
      <c r="P588" s="34"/>
      <c r="Q588" s="34"/>
      <c r="R588" s="76"/>
      <c r="S588" s="40"/>
      <c r="T588" s="42"/>
      <c r="U588" s="42"/>
      <c r="W588" s="96"/>
      <c r="X588" s="223"/>
      <c r="Y588" s="98"/>
      <c r="Z588" s="97"/>
      <c r="AA588" s="99"/>
    </row>
    <row r="589" spans="1:27" s="95" customFormat="1">
      <c r="A589" s="34"/>
      <c r="B589" s="76"/>
      <c r="C589" s="76"/>
      <c r="D589" s="187"/>
      <c r="E589" s="43"/>
      <c r="F589" s="43"/>
      <c r="G589" s="43"/>
      <c r="H589" s="43"/>
      <c r="I589" s="43"/>
      <c r="J589" s="43"/>
      <c r="K589" s="43"/>
      <c r="L589" s="43"/>
      <c r="M589" s="43"/>
      <c r="N589" s="37"/>
      <c r="O589" s="38"/>
      <c r="P589" s="34"/>
      <c r="Q589" s="39"/>
      <c r="R589" s="84"/>
      <c r="S589" s="40"/>
      <c r="T589" s="42"/>
      <c r="U589" s="42"/>
      <c r="W589" s="96"/>
      <c r="X589" s="223"/>
      <c r="Y589" s="98"/>
      <c r="Z589" s="97"/>
      <c r="AA589" s="99"/>
    </row>
    <row r="590" spans="1:27" s="95" customFormat="1">
      <c r="A590" s="34"/>
      <c r="B590" s="76"/>
      <c r="C590" s="76"/>
      <c r="D590" s="187"/>
      <c r="E590" s="43"/>
      <c r="F590" s="43"/>
      <c r="G590" s="43"/>
      <c r="H590" s="43"/>
      <c r="I590" s="43"/>
      <c r="J590" s="43"/>
      <c r="K590" s="43"/>
      <c r="L590" s="43"/>
      <c r="M590" s="43"/>
      <c r="N590" s="37"/>
      <c r="O590" s="38"/>
      <c r="P590" s="34"/>
      <c r="Q590" s="39"/>
      <c r="R590" s="84"/>
      <c r="S590" s="40"/>
      <c r="T590" s="42"/>
      <c r="U590" s="42"/>
      <c r="W590" s="96"/>
      <c r="X590" s="223"/>
      <c r="Y590" s="98"/>
      <c r="Z590" s="97"/>
      <c r="AA590" s="99"/>
    </row>
    <row r="591" spans="1:27" s="95" customFormat="1">
      <c r="A591" s="34"/>
      <c r="B591" s="76"/>
      <c r="C591" s="76"/>
      <c r="D591" s="187"/>
      <c r="E591" s="43"/>
      <c r="F591" s="43"/>
      <c r="G591" s="43"/>
      <c r="H591" s="43"/>
      <c r="I591" s="43"/>
      <c r="J591" s="43"/>
      <c r="K591" s="43"/>
      <c r="L591" s="43"/>
      <c r="M591" s="43"/>
      <c r="N591" s="37"/>
      <c r="O591" s="38"/>
      <c r="P591" s="34"/>
      <c r="Q591" s="39"/>
      <c r="R591" s="84"/>
      <c r="S591" s="40"/>
      <c r="T591" s="42"/>
      <c r="U591" s="42"/>
      <c r="W591" s="96"/>
      <c r="X591" s="223"/>
      <c r="Y591" s="98"/>
      <c r="Z591" s="97"/>
      <c r="AA591" s="99"/>
    </row>
    <row r="592" spans="1:27" s="95" customFormat="1">
      <c r="A592" s="34"/>
      <c r="B592" s="76"/>
      <c r="C592" s="76"/>
      <c r="D592" s="187"/>
      <c r="E592" s="43"/>
      <c r="F592" s="43"/>
      <c r="G592" s="43"/>
      <c r="H592" s="43"/>
      <c r="I592" s="43"/>
      <c r="J592" s="43"/>
      <c r="K592" s="43"/>
      <c r="L592" s="43"/>
      <c r="M592" s="43"/>
      <c r="N592" s="37"/>
      <c r="O592" s="38"/>
      <c r="P592" s="34"/>
      <c r="Q592" s="39"/>
      <c r="R592" s="84"/>
      <c r="S592" s="40"/>
      <c r="T592" s="42"/>
      <c r="U592" s="42"/>
      <c r="W592" s="96"/>
      <c r="X592" s="223"/>
      <c r="Y592" s="98"/>
      <c r="Z592" s="97"/>
      <c r="AA592" s="99"/>
    </row>
    <row r="593" spans="1:27" s="95" customFormat="1">
      <c r="A593" s="34"/>
      <c r="B593" s="76"/>
      <c r="C593" s="76"/>
      <c r="D593" s="187"/>
      <c r="E593" s="43"/>
      <c r="F593" s="43"/>
      <c r="G593" s="43"/>
      <c r="H593" s="43"/>
      <c r="I593" s="43"/>
      <c r="J593" s="43"/>
      <c r="K593" s="43"/>
      <c r="L593" s="43"/>
      <c r="M593" s="43"/>
      <c r="N593" s="37"/>
      <c r="O593" s="38"/>
      <c r="P593" s="34"/>
      <c r="Q593" s="39"/>
      <c r="R593" s="84"/>
      <c r="S593" s="40"/>
      <c r="T593" s="42"/>
      <c r="U593" s="42"/>
      <c r="W593" s="96"/>
      <c r="X593" s="223"/>
      <c r="Y593" s="98"/>
      <c r="Z593" s="97"/>
      <c r="AA593" s="99"/>
    </row>
    <row r="594" spans="1:27" s="95" customFormat="1">
      <c r="A594" s="34"/>
      <c r="B594" s="76"/>
      <c r="C594" s="76"/>
      <c r="D594" s="187"/>
      <c r="E594" s="43"/>
      <c r="F594" s="43"/>
      <c r="G594" s="43"/>
      <c r="H594" s="43"/>
      <c r="I594" s="43"/>
      <c r="J594" s="43"/>
      <c r="K594" s="43"/>
      <c r="L594" s="43"/>
      <c r="M594" s="43"/>
      <c r="N594" s="37"/>
      <c r="O594" s="38"/>
      <c r="P594" s="34"/>
      <c r="Q594" s="39"/>
      <c r="R594" s="84"/>
      <c r="S594" s="40"/>
      <c r="T594" s="42"/>
      <c r="U594" s="42"/>
      <c r="W594" s="96"/>
      <c r="X594" s="223"/>
      <c r="Y594" s="98"/>
      <c r="Z594" s="97"/>
      <c r="AA594" s="99"/>
    </row>
    <row r="595" spans="1:27" s="95" customFormat="1">
      <c r="A595" s="34"/>
      <c r="B595" s="76"/>
      <c r="C595" s="76"/>
      <c r="D595" s="187"/>
      <c r="E595" s="43"/>
      <c r="F595" s="43"/>
      <c r="G595" s="43"/>
      <c r="H595" s="43"/>
      <c r="I595" s="43"/>
      <c r="J595" s="43"/>
      <c r="K595" s="43"/>
      <c r="L595" s="43"/>
      <c r="M595" s="43"/>
      <c r="N595" s="37"/>
      <c r="O595" s="38"/>
      <c r="P595" s="34"/>
      <c r="Q595" s="39"/>
      <c r="R595" s="84"/>
      <c r="S595" s="40"/>
      <c r="T595" s="42"/>
      <c r="U595" s="42"/>
      <c r="W595" s="96"/>
      <c r="X595" s="223"/>
      <c r="Y595" s="98"/>
      <c r="Z595" s="97"/>
      <c r="AA595" s="99"/>
    </row>
    <row r="596" spans="1:27" s="95" customFormat="1">
      <c r="A596" s="34"/>
      <c r="B596" s="76"/>
      <c r="C596" s="76"/>
      <c r="D596" s="187"/>
      <c r="E596" s="43"/>
      <c r="F596" s="43"/>
      <c r="G596" s="43"/>
      <c r="H596" s="43"/>
      <c r="I596" s="43"/>
      <c r="J596" s="43"/>
      <c r="K596" s="43"/>
      <c r="L596" s="43"/>
      <c r="M596" s="43"/>
      <c r="N596" s="37"/>
      <c r="O596" s="38"/>
      <c r="P596" s="34"/>
      <c r="Q596" s="39"/>
      <c r="R596" s="84"/>
      <c r="S596" s="40"/>
      <c r="T596" s="42"/>
      <c r="U596" s="42"/>
      <c r="W596" s="96"/>
      <c r="X596" s="223"/>
      <c r="Y596" s="98"/>
      <c r="Z596" s="97"/>
      <c r="AA596" s="99"/>
    </row>
    <row r="597" spans="1:27" s="95" customFormat="1">
      <c r="A597" s="34"/>
      <c r="B597" s="76"/>
      <c r="C597" s="76"/>
      <c r="D597" s="187"/>
      <c r="E597" s="43"/>
      <c r="F597" s="43"/>
      <c r="G597" s="43"/>
      <c r="H597" s="43"/>
      <c r="I597" s="43"/>
      <c r="J597" s="43"/>
      <c r="K597" s="43"/>
      <c r="L597" s="43"/>
      <c r="M597" s="43"/>
      <c r="N597" s="37"/>
      <c r="O597" s="38"/>
      <c r="P597" s="34"/>
      <c r="Q597" s="39"/>
      <c r="R597" s="84"/>
      <c r="S597" s="40"/>
      <c r="T597" s="42"/>
      <c r="U597" s="42"/>
      <c r="W597" s="96"/>
      <c r="X597" s="223"/>
      <c r="Y597" s="98"/>
      <c r="Z597" s="97"/>
      <c r="AA597" s="99"/>
    </row>
    <row r="598" spans="1:27" s="95" customFormat="1">
      <c r="A598" s="34"/>
      <c r="B598" s="76"/>
      <c r="C598" s="76"/>
      <c r="D598" s="187"/>
      <c r="E598" s="43"/>
      <c r="F598" s="43"/>
      <c r="G598" s="43"/>
      <c r="H598" s="43"/>
      <c r="I598" s="43"/>
      <c r="J598" s="43"/>
      <c r="K598" s="43"/>
      <c r="L598" s="43"/>
      <c r="M598" s="43"/>
      <c r="N598" s="37"/>
      <c r="O598" s="38"/>
      <c r="P598" s="34"/>
      <c r="Q598" s="39"/>
      <c r="R598" s="84"/>
      <c r="S598" s="40"/>
      <c r="T598" s="42"/>
      <c r="U598" s="42"/>
      <c r="W598" s="96"/>
      <c r="X598" s="223"/>
      <c r="Y598" s="98"/>
      <c r="Z598" s="97"/>
      <c r="AA598" s="99"/>
    </row>
    <row r="599" spans="1:27" s="95" customFormat="1">
      <c r="A599" s="34"/>
      <c r="B599" s="76"/>
      <c r="C599" s="76"/>
      <c r="D599" s="187"/>
      <c r="E599" s="43"/>
      <c r="F599" s="43"/>
      <c r="G599" s="43"/>
      <c r="H599" s="43"/>
      <c r="I599" s="43"/>
      <c r="J599" s="43"/>
      <c r="K599" s="43"/>
      <c r="L599" s="43"/>
      <c r="M599" s="43"/>
      <c r="N599" s="37"/>
      <c r="O599" s="38"/>
      <c r="P599" s="34"/>
      <c r="Q599" s="39"/>
      <c r="R599" s="84"/>
      <c r="S599" s="40"/>
      <c r="T599" s="42"/>
      <c r="U599" s="42"/>
      <c r="W599" s="96"/>
      <c r="X599" s="223"/>
      <c r="Y599" s="98"/>
      <c r="Z599" s="97"/>
      <c r="AA599" s="99"/>
    </row>
    <row r="600" spans="1:27" s="95" customFormat="1">
      <c r="A600" s="34"/>
      <c r="B600" s="76"/>
      <c r="C600" s="76"/>
      <c r="D600" s="187"/>
      <c r="E600" s="43"/>
      <c r="F600" s="43"/>
      <c r="G600" s="43"/>
      <c r="H600" s="43"/>
      <c r="I600" s="43"/>
      <c r="J600" s="43"/>
      <c r="K600" s="43"/>
      <c r="L600" s="43"/>
      <c r="M600" s="43"/>
      <c r="N600" s="37"/>
      <c r="O600" s="38"/>
      <c r="P600" s="34"/>
      <c r="Q600" s="39"/>
      <c r="R600" s="84"/>
      <c r="S600" s="40"/>
      <c r="T600" s="42"/>
      <c r="U600" s="42"/>
      <c r="W600" s="96"/>
      <c r="X600" s="223"/>
      <c r="Y600" s="98"/>
      <c r="Z600" s="97"/>
      <c r="AA600" s="99"/>
    </row>
    <row r="601" spans="1:27" s="95" customFormat="1">
      <c r="A601" s="34"/>
      <c r="B601" s="76"/>
      <c r="C601" s="76"/>
      <c r="D601" s="187"/>
      <c r="E601" s="43"/>
      <c r="F601" s="43"/>
      <c r="G601" s="43"/>
      <c r="H601" s="43"/>
      <c r="I601" s="43"/>
      <c r="J601" s="43"/>
      <c r="K601" s="43"/>
      <c r="L601" s="43"/>
      <c r="M601" s="43"/>
      <c r="N601" s="37"/>
      <c r="O601" s="38"/>
      <c r="P601" s="34"/>
      <c r="Q601" s="39"/>
      <c r="R601" s="84"/>
      <c r="S601" s="40"/>
      <c r="T601" s="42"/>
      <c r="U601" s="42"/>
      <c r="W601" s="96"/>
      <c r="X601" s="223"/>
      <c r="Y601" s="98"/>
      <c r="Z601" s="97"/>
      <c r="AA601" s="99"/>
    </row>
    <row r="602" spans="1:27" s="95" customFormat="1">
      <c r="A602" s="34"/>
      <c r="B602" s="76"/>
      <c r="C602" s="76"/>
      <c r="D602" s="187"/>
      <c r="E602" s="43"/>
      <c r="F602" s="43"/>
      <c r="G602" s="43"/>
      <c r="H602" s="43"/>
      <c r="I602" s="43"/>
      <c r="J602" s="43"/>
      <c r="K602" s="43"/>
      <c r="L602" s="43"/>
      <c r="M602" s="43"/>
      <c r="N602" s="37"/>
      <c r="O602" s="38"/>
      <c r="P602" s="34"/>
      <c r="Q602" s="39"/>
      <c r="R602" s="84"/>
      <c r="S602" s="40"/>
      <c r="T602" s="42"/>
      <c r="U602" s="42"/>
      <c r="W602" s="96"/>
      <c r="X602" s="223"/>
      <c r="Y602" s="98"/>
      <c r="Z602" s="97"/>
      <c r="AA602" s="99"/>
    </row>
    <row r="603" spans="1:27" s="95" customFormat="1">
      <c r="A603" s="34"/>
      <c r="B603" s="76"/>
      <c r="C603" s="76"/>
      <c r="D603" s="187"/>
      <c r="E603" s="43"/>
      <c r="F603" s="43"/>
      <c r="G603" s="43"/>
      <c r="H603" s="43"/>
      <c r="I603" s="43"/>
      <c r="J603" s="43"/>
      <c r="K603" s="43"/>
      <c r="L603" s="43"/>
      <c r="M603" s="43"/>
      <c r="N603" s="37"/>
      <c r="O603" s="38"/>
      <c r="P603" s="34"/>
      <c r="Q603" s="39"/>
      <c r="R603" s="84"/>
      <c r="S603" s="40"/>
      <c r="T603" s="42"/>
      <c r="U603" s="42"/>
      <c r="W603" s="96"/>
      <c r="X603" s="223"/>
      <c r="Y603" s="98"/>
      <c r="Z603" s="97"/>
      <c r="AA603" s="99"/>
    </row>
    <row r="604" spans="1:27" s="95" customFormat="1">
      <c r="A604" s="34"/>
      <c r="B604" s="76"/>
      <c r="C604" s="76"/>
      <c r="D604" s="187"/>
      <c r="E604" s="43"/>
      <c r="F604" s="43"/>
      <c r="G604" s="43"/>
      <c r="H604" s="43"/>
      <c r="I604" s="43"/>
      <c r="J604" s="43"/>
      <c r="K604" s="43"/>
      <c r="L604" s="43"/>
      <c r="M604" s="43"/>
      <c r="N604" s="37"/>
      <c r="O604" s="38"/>
      <c r="P604" s="34"/>
      <c r="Q604" s="39"/>
      <c r="R604" s="84"/>
      <c r="S604" s="40"/>
      <c r="T604" s="42"/>
      <c r="U604" s="42"/>
      <c r="W604" s="96"/>
      <c r="X604" s="223"/>
      <c r="Y604" s="98"/>
      <c r="Z604" s="97"/>
      <c r="AA604" s="99"/>
    </row>
    <row r="605" spans="1:27" s="95" customFormat="1">
      <c r="A605" s="34"/>
      <c r="B605" s="76"/>
      <c r="C605" s="76"/>
      <c r="D605" s="187"/>
      <c r="E605" s="43"/>
      <c r="F605" s="43"/>
      <c r="G605" s="43"/>
      <c r="H605" s="43"/>
      <c r="I605" s="43"/>
      <c r="J605" s="43"/>
      <c r="K605" s="43"/>
      <c r="L605" s="43"/>
      <c r="M605" s="43"/>
      <c r="N605" s="37"/>
      <c r="O605" s="38"/>
      <c r="P605" s="34"/>
      <c r="Q605" s="39"/>
      <c r="R605" s="84"/>
      <c r="S605" s="40"/>
      <c r="T605" s="42"/>
      <c r="U605" s="42"/>
      <c r="W605" s="96"/>
      <c r="X605" s="223"/>
      <c r="Y605" s="98"/>
      <c r="Z605" s="97"/>
      <c r="AA605" s="99"/>
    </row>
    <row r="606" spans="1:27" s="95" customFormat="1">
      <c r="A606" s="34"/>
      <c r="B606" s="76"/>
      <c r="C606" s="76"/>
      <c r="D606" s="187"/>
      <c r="E606" s="43"/>
      <c r="F606" s="43"/>
      <c r="G606" s="43"/>
      <c r="H606" s="43"/>
      <c r="I606" s="43"/>
      <c r="J606" s="43"/>
      <c r="K606" s="43"/>
      <c r="L606" s="43"/>
      <c r="M606" s="43"/>
      <c r="N606" s="37"/>
      <c r="O606" s="38"/>
      <c r="P606" s="34"/>
      <c r="Q606" s="39"/>
      <c r="R606" s="84"/>
      <c r="S606" s="40"/>
      <c r="T606" s="42"/>
      <c r="U606" s="42"/>
      <c r="W606" s="96"/>
      <c r="X606" s="223"/>
      <c r="Y606" s="98"/>
      <c r="Z606" s="97"/>
      <c r="AA606" s="99"/>
    </row>
    <row r="607" spans="1:27" s="95" customFormat="1">
      <c r="A607" s="34"/>
      <c r="B607" s="76"/>
      <c r="C607" s="76"/>
      <c r="D607" s="187"/>
      <c r="E607" s="43"/>
      <c r="F607" s="43"/>
      <c r="G607" s="43"/>
      <c r="H607" s="43"/>
      <c r="I607" s="43"/>
      <c r="J607" s="43"/>
      <c r="K607" s="43"/>
      <c r="L607" s="43"/>
      <c r="M607" s="43"/>
      <c r="N607" s="37"/>
      <c r="O607" s="38"/>
      <c r="P607" s="34"/>
      <c r="Q607" s="39"/>
      <c r="R607" s="84"/>
      <c r="S607" s="40"/>
      <c r="T607" s="42"/>
      <c r="U607" s="42"/>
      <c r="W607" s="96"/>
      <c r="X607" s="223"/>
      <c r="Y607" s="98"/>
      <c r="Z607" s="97"/>
      <c r="AA607" s="99"/>
    </row>
    <row r="608" spans="1:27" s="95" customFormat="1">
      <c r="A608" s="34"/>
      <c r="B608" s="76"/>
      <c r="C608" s="76"/>
      <c r="D608" s="187"/>
      <c r="E608" s="43"/>
      <c r="F608" s="43"/>
      <c r="G608" s="43"/>
      <c r="H608" s="43"/>
      <c r="I608" s="43"/>
      <c r="J608" s="43"/>
      <c r="K608" s="43"/>
      <c r="L608" s="43"/>
      <c r="M608" s="43"/>
      <c r="N608" s="37"/>
      <c r="O608" s="38"/>
      <c r="P608" s="34"/>
      <c r="Q608" s="39"/>
      <c r="R608" s="84"/>
      <c r="S608" s="40"/>
      <c r="T608" s="42"/>
      <c r="U608" s="42"/>
      <c r="W608" s="96"/>
      <c r="X608" s="223"/>
      <c r="Y608" s="98"/>
      <c r="Z608" s="97"/>
      <c r="AA608" s="99"/>
    </row>
    <row r="609" spans="1:27" s="95" customFormat="1">
      <c r="A609" s="34"/>
      <c r="B609" s="76"/>
      <c r="C609" s="76"/>
      <c r="D609" s="187"/>
      <c r="E609" s="43"/>
      <c r="F609" s="43"/>
      <c r="G609" s="43"/>
      <c r="H609" s="43"/>
      <c r="I609" s="43"/>
      <c r="J609" s="43"/>
      <c r="K609" s="43"/>
      <c r="L609" s="43"/>
      <c r="M609" s="43"/>
      <c r="N609" s="37"/>
      <c r="O609" s="38"/>
      <c r="P609" s="34"/>
      <c r="Q609" s="39"/>
      <c r="R609" s="84"/>
      <c r="S609" s="40"/>
      <c r="T609" s="42"/>
      <c r="U609" s="42"/>
      <c r="W609" s="96"/>
      <c r="X609" s="223"/>
      <c r="Y609" s="98"/>
      <c r="Z609" s="97"/>
      <c r="AA609" s="99"/>
    </row>
    <row r="610" spans="1:27" s="95" customFormat="1">
      <c r="A610" s="34"/>
      <c r="B610" s="76"/>
      <c r="C610" s="76"/>
      <c r="D610" s="187"/>
      <c r="E610" s="43"/>
      <c r="F610" s="43"/>
      <c r="G610" s="43"/>
      <c r="H610" s="43"/>
      <c r="I610" s="43"/>
      <c r="J610" s="43"/>
      <c r="K610" s="43"/>
      <c r="L610" s="43"/>
      <c r="M610" s="43"/>
      <c r="N610" s="37"/>
      <c r="O610" s="38"/>
      <c r="P610" s="34"/>
      <c r="Q610" s="39"/>
      <c r="R610" s="84"/>
      <c r="S610" s="40"/>
      <c r="T610" s="42"/>
      <c r="U610" s="42"/>
      <c r="W610" s="96"/>
      <c r="X610" s="223"/>
      <c r="Y610" s="98"/>
      <c r="Z610" s="97"/>
      <c r="AA610" s="99"/>
    </row>
    <row r="611" spans="1:27" s="95" customFormat="1">
      <c r="A611" s="34"/>
      <c r="B611" s="76"/>
      <c r="C611" s="76"/>
      <c r="D611" s="187"/>
      <c r="E611" s="43"/>
      <c r="F611" s="43"/>
      <c r="G611" s="43"/>
      <c r="H611" s="43"/>
      <c r="I611" s="43"/>
      <c r="J611" s="43"/>
      <c r="K611" s="43"/>
      <c r="L611" s="43"/>
      <c r="M611" s="43"/>
      <c r="N611" s="37"/>
      <c r="O611" s="38"/>
      <c r="P611" s="34"/>
      <c r="Q611" s="39"/>
      <c r="R611" s="84"/>
      <c r="S611" s="40"/>
      <c r="T611" s="42"/>
      <c r="U611" s="42"/>
      <c r="W611" s="96"/>
      <c r="X611" s="223"/>
      <c r="Y611" s="98"/>
      <c r="Z611" s="97"/>
      <c r="AA611" s="99"/>
    </row>
    <row r="612" spans="1:27" s="95" customFormat="1">
      <c r="A612" s="34"/>
      <c r="B612" s="76"/>
      <c r="C612" s="76"/>
      <c r="D612" s="187"/>
      <c r="E612" s="43"/>
      <c r="F612" s="43"/>
      <c r="G612" s="43"/>
      <c r="H612" s="43"/>
      <c r="I612" s="43"/>
      <c r="J612" s="43"/>
      <c r="K612" s="43"/>
      <c r="L612" s="43"/>
      <c r="M612" s="43"/>
      <c r="N612" s="37"/>
      <c r="O612" s="38"/>
      <c r="P612" s="34"/>
      <c r="Q612" s="39"/>
      <c r="R612" s="84"/>
      <c r="S612" s="40"/>
      <c r="T612" s="42"/>
      <c r="U612" s="42"/>
      <c r="W612" s="96"/>
      <c r="X612" s="223"/>
      <c r="Y612" s="98"/>
      <c r="Z612" s="97"/>
      <c r="AA612" s="99"/>
    </row>
    <row r="613" spans="1:27" s="95" customFormat="1">
      <c r="A613" s="34"/>
      <c r="B613" s="76"/>
      <c r="C613" s="76"/>
      <c r="D613" s="187"/>
      <c r="E613" s="43"/>
      <c r="F613" s="43"/>
      <c r="G613" s="43"/>
      <c r="H613" s="43"/>
      <c r="I613" s="43"/>
      <c r="J613" s="43"/>
      <c r="K613" s="43"/>
      <c r="L613" s="43"/>
      <c r="M613" s="43"/>
      <c r="N613" s="37"/>
      <c r="O613" s="38"/>
      <c r="P613" s="34"/>
      <c r="Q613" s="39"/>
      <c r="R613" s="84"/>
      <c r="S613" s="40"/>
      <c r="T613" s="42"/>
      <c r="U613" s="42"/>
      <c r="W613" s="96"/>
      <c r="X613" s="223"/>
      <c r="Y613" s="98"/>
      <c r="Z613" s="97"/>
      <c r="AA613" s="99"/>
    </row>
    <row r="614" spans="1:27" s="95" customFormat="1">
      <c r="A614" s="34"/>
      <c r="B614" s="76"/>
      <c r="C614" s="76"/>
      <c r="D614" s="187"/>
      <c r="E614" s="43"/>
      <c r="F614" s="43"/>
      <c r="G614" s="43"/>
      <c r="H614" s="43"/>
      <c r="I614" s="43"/>
      <c r="J614" s="43"/>
      <c r="K614" s="43"/>
      <c r="L614" s="43"/>
      <c r="M614" s="43"/>
      <c r="N614" s="37"/>
      <c r="O614" s="38"/>
      <c r="P614" s="34"/>
      <c r="Q614" s="39"/>
      <c r="R614" s="84"/>
      <c r="S614" s="40"/>
      <c r="T614" s="42"/>
      <c r="U614" s="42"/>
      <c r="W614" s="96"/>
      <c r="X614" s="223"/>
      <c r="Y614" s="98"/>
      <c r="Z614" s="97"/>
      <c r="AA614" s="99"/>
    </row>
    <row r="615" spans="1:27" s="95" customFormat="1">
      <c r="A615" s="34"/>
      <c r="B615" s="76"/>
      <c r="C615" s="76"/>
      <c r="D615" s="187"/>
      <c r="E615" s="43"/>
      <c r="F615" s="43"/>
      <c r="G615" s="43"/>
      <c r="H615" s="43"/>
      <c r="I615" s="43"/>
      <c r="J615" s="43"/>
      <c r="K615" s="43"/>
      <c r="L615" s="43"/>
      <c r="M615" s="43"/>
      <c r="N615" s="37"/>
      <c r="O615" s="38"/>
      <c r="P615" s="34"/>
      <c r="Q615" s="39"/>
      <c r="R615" s="84"/>
      <c r="S615" s="40"/>
      <c r="T615" s="42"/>
      <c r="U615" s="42"/>
      <c r="W615" s="96"/>
      <c r="X615" s="223"/>
      <c r="Y615" s="98"/>
      <c r="Z615" s="97"/>
      <c r="AA615" s="99"/>
    </row>
    <row r="616" spans="1:27" s="95" customFormat="1">
      <c r="A616" s="34"/>
      <c r="B616" s="76"/>
      <c r="C616" s="76"/>
      <c r="D616" s="187"/>
      <c r="E616" s="43"/>
      <c r="F616" s="43"/>
      <c r="G616" s="43"/>
      <c r="H616" s="43"/>
      <c r="I616" s="43"/>
      <c r="J616" s="43"/>
      <c r="K616" s="43"/>
      <c r="L616" s="43"/>
      <c r="M616" s="43"/>
      <c r="N616" s="37"/>
      <c r="O616" s="38"/>
      <c r="P616" s="34"/>
      <c r="Q616" s="39"/>
      <c r="R616" s="84"/>
      <c r="S616" s="40"/>
      <c r="T616" s="42"/>
      <c r="U616" s="42"/>
      <c r="W616" s="96"/>
      <c r="X616" s="223"/>
      <c r="Y616" s="98"/>
      <c r="Z616" s="97"/>
      <c r="AA616" s="99"/>
    </row>
    <row r="617" spans="1:27" s="95" customFormat="1">
      <c r="A617" s="34"/>
      <c r="B617" s="76"/>
      <c r="C617" s="76"/>
      <c r="D617" s="187"/>
      <c r="E617" s="43"/>
      <c r="F617" s="43"/>
      <c r="G617" s="43"/>
      <c r="H617" s="43"/>
      <c r="I617" s="43"/>
      <c r="J617" s="43"/>
      <c r="K617" s="43"/>
      <c r="L617" s="43"/>
      <c r="M617" s="43"/>
      <c r="N617" s="37"/>
      <c r="O617" s="38"/>
      <c r="P617" s="34"/>
      <c r="Q617" s="45"/>
      <c r="R617" s="84"/>
      <c r="S617" s="40"/>
      <c r="T617" s="42"/>
      <c r="U617" s="42"/>
      <c r="W617" s="96"/>
      <c r="X617" s="223"/>
      <c r="Y617" s="98"/>
      <c r="Z617" s="97"/>
      <c r="AA617" s="99"/>
    </row>
    <row r="618" spans="1:27" s="95" customFormat="1">
      <c r="A618" s="34"/>
      <c r="B618" s="76"/>
      <c r="C618" s="76"/>
      <c r="D618" s="187"/>
      <c r="E618" s="43"/>
      <c r="F618" s="43"/>
      <c r="G618" s="43"/>
      <c r="H618" s="43"/>
      <c r="I618" s="43"/>
      <c r="J618" s="43"/>
      <c r="K618" s="43"/>
      <c r="L618" s="43"/>
      <c r="M618" s="43"/>
      <c r="N618" s="37"/>
      <c r="O618" s="38"/>
      <c r="P618" s="34"/>
      <c r="Q618" s="45"/>
      <c r="R618" s="84"/>
      <c r="S618" s="40"/>
      <c r="T618" s="42"/>
      <c r="U618" s="42"/>
      <c r="W618" s="96"/>
      <c r="X618" s="223"/>
      <c r="Y618" s="98"/>
      <c r="Z618" s="97"/>
      <c r="AA618" s="99"/>
    </row>
    <row r="619" spans="1:27" s="95" customFormat="1">
      <c r="A619" s="34"/>
      <c r="B619" s="76"/>
      <c r="C619" s="76"/>
      <c r="D619" s="187"/>
      <c r="E619" s="43"/>
      <c r="F619" s="43"/>
      <c r="G619" s="43"/>
      <c r="H619" s="43"/>
      <c r="I619" s="43"/>
      <c r="J619" s="43"/>
      <c r="K619" s="43"/>
      <c r="L619" s="43"/>
      <c r="M619" s="43"/>
      <c r="N619" s="37"/>
      <c r="O619" s="38"/>
      <c r="P619" s="34"/>
      <c r="Q619" s="39"/>
      <c r="R619" s="84"/>
      <c r="S619" s="40"/>
      <c r="T619" s="42"/>
      <c r="U619" s="42"/>
      <c r="W619" s="96"/>
      <c r="X619" s="223"/>
      <c r="Y619" s="98"/>
      <c r="Z619" s="97"/>
      <c r="AA619" s="99"/>
    </row>
    <row r="620" spans="1:27" s="95" customFormat="1">
      <c r="A620" s="34"/>
      <c r="B620" s="76"/>
      <c r="C620" s="76"/>
      <c r="D620" s="187"/>
      <c r="E620" s="43"/>
      <c r="F620" s="43"/>
      <c r="G620" s="43"/>
      <c r="H620" s="43"/>
      <c r="I620" s="43"/>
      <c r="J620" s="43"/>
      <c r="K620" s="43"/>
      <c r="L620" s="43"/>
      <c r="M620" s="43"/>
      <c r="N620" s="37"/>
      <c r="O620" s="38"/>
      <c r="P620" s="34"/>
      <c r="Q620" s="39"/>
      <c r="R620" s="84"/>
      <c r="S620" s="40"/>
      <c r="T620" s="42"/>
      <c r="U620" s="42"/>
      <c r="W620" s="96"/>
      <c r="X620" s="223"/>
      <c r="Y620" s="98"/>
      <c r="Z620" s="97"/>
      <c r="AA620" s="99"/>
    </row>
    <row r="621" spans="1:27" s="95" customFormat="1">
      <c r="A621" s="34"/>
      <c r="B621" s="76"/>
      <c r="C621" s="76"/>
      <c r="D621" s="187"/>
      <c r="E621" s="43"/>
      <c r="F621" s="43"/>
      <c r="G621" s="43"/>
      <c r="H621" s="43"/>
      <c r="I621" s="43"/>
      <c r="J621" s="43"/>
      <c r="K621" s="43"/>
      <c r="L621" s="43"/>
      <c r="M621" s="43"/>
      <c r="N621" s="37"/>
      <c r="O621" s="38"/>
      <c r="P621" s="34"/>
      <c r="Q621" s="39"/>
      <c r="R621" s="84"/>
      <c r="S621" s="40"/>
      <c r="T621" s="42"/>
      <c r="U621" s="42"/>
      <c r="W621" s="96"/>
      <c r="X621" s="223"/>
      <c r="Y621" s="98"/>
      <c r="Z621" s="97"/>
      <c r="AA621" s="99"/>
    </row>
    <row r="622" spans="1:27" s="95" customFormat="1">
      <c r="A622" s="34"/>
      <c r="B622" s="76"/>
      <c r="C622" s="76"/>
      <c r="D622" s="187"/>
      <c r="E622" s="43"/>
      <c r="F622" s="43"/>
      <c r="G622" s="43"/>
      <c r="H622" s="43"/>
      <c r="I622" s="43"/>
      <c r="J622" s="43"/>
      <c r="K622" s="43"/>
      <c r="L622" s="43"/>
      <c r="M622" s="43"/>
      <c r="N622" s="37"/>
      <c r="O622" s="38"/>
      <c r="P622" s="34"/>
      <c r="Q622" s="39"/>
      <c r="R622" s="84"/>
      <c r="S622" s="40"/>
      <c r="T622" s="42"/>
      <c r="U622" s="42"/>
      <c r="W622" s="96"/>
      <c r="X622" s="223"/>
      <c r="Y622" s="98"/>
      <c r="Z622" s="97"/>
      <c r="AA622" s="99"/>
    </row>
    <row r="623" spans="1:27" s="95" customFormat="1">
      <c r="A623" s="34"/>
      <c r="B623" s="76"/>
      <c r="C623" s="76"/>
      <c r="D623" s="187"/>
      <c r="E623" s="43"/>
      <c r="F623" s="43"/>
      <c r="G623" s="43"/>
      <c r="H623" s="43"/>
      <c r="I623" s="43"/>
      <c r="J623" s="43"/>
      <c r="K623" s="43"/>
      <c r="L623" s="43"/>
      <c r="M623" s="43"/>
      <c r="N623" s="37"/>
      <c r="O623" s="38"/>
      <c r="P623" s="34"/>
      <c r="Q623" s="39"/>
      <c r="R623" s="84"/>
      <c r="S623" s="40"/>
      <c r="T623" s="42"/>
      <c r="U623" s="42"/>
      <c r="W623" s="96"/>
      <c r="X623" s="223"/>
      <c r="Y623" s="98"/>
      <c r="Z623" s="97"/>
      <c r="AA623" s="99"/>
    </row>
    <row r="624" spans="1:27" s="95" customFormat="1">
      <c r="A624" s="34"/>
      <c r="B624" s="76"/>
      <c r="C624" s="76"/>
      <c r="D624" s="187"/>
      <c r="E624" s="43"/>
      <c r="F624" s="43"/>
      <c r="G624" s="43"/>
      <c r="H624" s="43"/>
      <c r="I624" s="43"/>
      <c r="J624" s="43"/>
      <c r="K624" s="43"/>
      <c r="L624" s="43"/>
      <c r="M624" s="43"/>
      <c r="N624" s="37"/>
      <c r="O624" s="38"/>
      <c r="P624" s="34"/>
      <c r="Q624" s="39"/>
      <c r="R624" s="84"/>
      <c r="S624" s="40"/>
      <c r="T624" s="42"/>
      <c r="U624" s="42"/>
      <c r="W624" s="96"/>
      <c r="X624" s="223"/>
      <c r="Y624" s="98"/>
      <c r="Z624" s="97"/>
      <c r="AA624" s="99"/>
    </row>
    <row r="625" spans="1:27" s="95" customFormat="1">
      <c r="A625" s="34"/>
      <c r="B625" s="76"/>
      <c r="C625" s="76"/>
      <c r="D625" s="187"/>
      <c r="E625" s="43"/>
      <c r="F625" s="43"/>
      <c r="G625" s="43"/>
      <c r="H625" s="43"/>
      <c r="I625" s="43"/>
      <c r="J625" s="43"/>
      <c r="K625" s="43"/>
      <c r="L625" s="43"/>
      <c r="M625" s="43"/>
      <c r="N625" s="37"/>
      <c r="O625" s="38"/>
      <c r="P625" s="34"/>
      <c r="Q625" s="39"/>
      <c r="R625" s="84"/>
      <c r="S625" s="40"/>
      <c r="T625" s="42"/>
      <c r="U625" s="42"/>
      <c r="W625" s="96"/>
      <c r="X625" s="223"/>
      <c r="Y625" s="98"/>
      <c r="Z625" s="97"/>
      <c r="AA625" s="99"/>
    </row>
    <row r="626" spans="1:27" s="95" customFormat="1">
      <c r="A626" s="34"/>
      <c r="B626" s="76"/>
      <c r="C626" s="76"/>
      <c r="D626" s="187"/>
      <c r="E626" s="43"/>
      <c r="F626" s="43"/>
      <c r="G626" s="43"/>
      <c r="H626" s="43"/>
      <c r="I626" s="43"/>
      <c r="J626" s="43"/>
      <c r="K626" s="43"/>
      <c r="L626" s="43"/>
      <c r="M626" s="43"/>
      <c r="N626" s="37"/>
      <c r="O626" s="38"/>
      <c r="P626" s="34"/>
      <c r="Q626" s="34"/>
      <c r="R626" s="76"/>
      <c r="S626" s="40"/>
      <c r="T626" s="42"/>
      <c r="U626" s="42"/>
      <c r="W626" s="96"/>
      <c r="X626" s="223"/>
      <c r="Y626" s="98"/>
      <c r="Z626" s="97"/>
      <c r="AA626" s="99"/>
    </row>
    <row r="627" spans="1:27" s="95" customFormat="1">
      <c r="A627" s="34"/>
      <c r="B627" s="76"/>
      <c r="C627" s="76"/>
      <c r="D627" s="187"/>
      <c r="E627" s="43"/>
      <c r="F627" s="43"/>
      <c r="G627" s="43"/>
      <c r="H627" s="43"/>
      <c r="I627" s="43"/>
      <c r="J627" s="43"/>
      <c r="K627" s="43"/>
      <c r="L627" s="43"/>
      <c r="M627" s="43"/>
      <c r="N627" s="37"/>
      <c r="O627" s="38"/>
      <c r="P627" s="34"/>
      <c r="Q627" s="34"/>
      <c r="R627" s="76"/>
      <c r="S627" s="40"/>
      <c r="T627" s="42"/>
      <c r="U627" s="42"/>
      <c r="W627" s="96"/>
      <c r="X627" s="223"/>
      <c r="Y627" s="98"/>
      <c r="Z627" s="97"/>
      <c r="AA627" s="99"/>
    </row>
    <row r="628" spans="1:27" s="95" customFormat="1">
      <c r="A628" s="34"/>
      <c r="B628" s="76"/>
      <c r="C628" s="76"/>
      <c r="D628" s="187"/>
      <c r="E628" s="43"/>
      <c r="F628" s="43"/>
      <c r="G628" s="43"/>
      <c r="H628" s="43"/>
      <c r="I628" s="43"/>
      <c r="J628" s="43"/>
      <c r="K628" s="43"/>
      <c r="L628" s="43"/>
      <c r="M628" s="43"/>
      <c r="N628" s="37"/>
      <c r="O628" s="38"/>
      <c r="P628" s="34"/>
      <c r="Q628" s="34"/>
      <c r="R628" s="76"/>
      <c r="S628" s="46"/>
      <c r="T628" s="42"/>
      <c r="U628" s="42"/>
      <c r="W628" s="96"/>
      <c r="X628" s="223"/>
      <c r="Y628" s="98"/>
      <c r="Z628" s="97"/>
      <c r="AA628" s="99"/>
    </row>
    <row r="629" spans="1:27" s="95" customFormat="1">
      <c r="A629" s="34"/>
      <c r="B629" s="76"/>
      <c r="C629" s="76"/>
      <c r="D629" s="187"/>
      <c r="E629" s="43"/>
      <c r="F629" s="43"/>
      <c r="G629" s="43"/>
      <c r="H629" s="43"/>
      <c r="I629" s="43"/>
      <c r="J629" s="43"/>
      <c r="K629" s="43"/>
      <c r="L629" s="43"/>
      <c r="M629" s="43"/>
      <c r="N629" s="37"/>
      <c r="O629" s="38"/>
      <c r="P629" s="34"/>
      <c r="Q629" s="34"/>
      <c r="R629" s="76"/>
      <c r="S629" s="47"/>
      <c r="T629" s="42"/>
      <c r="U629" s="42"/>
      <c r="W629" s="96"/>
      <c r="X629" s="223"/>
      <c r="Y629" s="98"/>
      <c r="Z629" s="97"/>
      <c r="AA629" s="99"/>
    </row>
    <row r="630" spans="1:27" s="95" customFormat="1">
      <c r="A630" s="34"/>
      <c r="B630" s="76"/>
      <c r="C630" s="76"/>
      <c r="D630" s="187"/>
      <c r="E630" s="43"/>
      <c r="F630" s="43"/>
      <c r="G630" s="43"/>
      <c r="H630" s="43"/>
      <c r="I630" s="43"/>
      <c r="J630" s="43"/>
      <c r="K630" s="43"/>
      <c r="L630" s="43"/>
      <c r="M630" s="43"/>
      <c r="N630" s="37"/>
      <c r="O630" s="38"/>
      <c r="P630" s="34"/>
      <c r="Q630" s="34"/>
      <c r="R630" s="76"/>
      <c r="S630" s="47"/>
      <c r="T630" s="42"/>
      <c r="U630" s="42"/>
      <c r="W630" s="96"/>
      <c r="X630" s="223"/>
      <c r="Y630" s="98"/>
      <c r="Z630" s="97"/>
      <c r="AA630" s="99"/>
    </row>
    <row r="631" spans="1:27" s="95" customFormat="1">
      <c r="A631" s="34"/>
      <c r="B631" s="76"/>
      <c r="C631" s="76"/>
      <c r="D631" s="187"/>
      <c r="E631" s="43"/>
      <c r="F631" s="43"/>
      <c r="G631" s="43"/>
      <c r="H631" s="43"/>
      <c r="I631" s="43"/>
      <c r="J631" s="43"/>
      <c r="K631" s="43"/>
      <c r="L631" s="43"/>
      <c r="M631" s="43"/>
      <c r="N631" s="37"/>
      <c r="O631" s="38"/>
      <c r="P631" s="34"/>
      <c r="Q631" s="34"/>
      <c r="R631" s="76"/>
      <c r="S631" s="47"/>
      <c r="T631" s="42"/>
      <c r="U631" s="42"/>
      <c r="W631" s="96"/>
      <c r="X631" s="223"/>
      <c r="Y631" s="98"/>
      <c r="Z631" s="97"/>
      <c r="AA631" s="99"/>
    </row>
    <row r="632" spans="1:27" s="95" customFormat="1">
      <c r="A632" s="34"/>
      <c r="B632" s="76"/>
      <c r="C632" s="76"/>
      <c r="D632" s="187"/>
      <c r="E632" s="43"/>
      <c r="F632" s="43"/>
      <c r="G632" s="43"/>
      <c r="H632" s="43"/>
      <c r="I632" s="43"/>
      <c r="J632" s="43"/>
      <c r="K632" s="43"/>
      <c r="L632" s="43"/>
      <c r="M632" s="43"/>
      <c r="N632" s="37"/>
      <c r="O632" s="38"/>
      <c r="P632" s="34"/>
      <c r="Q632" s="34"/>
      <c r="R632" s="76"/>
      <c r="S632" s="47"/>
      <c r="T632" s="42"/>
      <c r="U632" s="42"/>
      <c r="W632" s="96"/>
      <c r="X632" s="223"/>
      <c r="Y632" s="98"/>
      <c r="Z632" s="97"/>
      <c r="AA632" s="99"/>
    </row>
    <row r="633" spans="1:27" s="95" customFormat="1">
      <c r="A633" s="34"/>
      <c r="B633" s="76"/>
      <c r="C633" s="76"/>
      <c r="D633" s="187"/>
      <c r="E633" s="43"/>
      <c r="F633" s="43"/>
      <c r="G633" s="43"/>
      <c r="H633" s="43"/>
      <c r="I633" s="43"/>
      <c r="J633" s="43"/>
      <c r="K633" s="43"/>
      <c r="L633" s="43"/>
      <c r="M633" s="43"/>
      <c r="N633" s="37"/>
      <c r="O633" s="38"/>
      <c r="P633" s="34"/>
      <c r="Q633" s="34"/>
      <c r="R633" s="76"/>
      <c r="S633" s="47"/>
      <c r="T633" s="42"/>
      <c r="U633" s="42"/>
      <c r="W633" s="96"/>
      <c r="X633" s="223"/>
      <c r="Y633" s="98"/>
      <c r="Z633" s="97"/>
      <c r="AA633" s="99"/>
    </row>
    <row r="634" spans="1:27" s="95" customFormat="1">
      <c r="A634" s="34"/>
      <c r="B634" s="76"/>
      <c r="C634" s="76"/>
      <c r="D634" s="187"/>
      <c r="E634" s="43"/>
      <c r="F634" s="43"/>
      <c r="G634" s="43"/>
      <c r="H634" s="43"/>
      <c r="I634" s="43"/>
      <c r="J634" s="43"/>
      <c r="K634" s="43"/>
      <c r="L634" s="43"/>
      <c r="M634" s="43"/>
      <c r="N634" s="37"/>
      <c r="O634" s="38"/>
      <c r="P634" s="34"/>
      <c r="Q634" s="34"/>
      <c r="R634" s="76"/>
      <c r="S634" s="47"/>
      <c r="T634" s="42"/>
      <c r="U634" s="42"/>
      <c r="W634" s="96"/>
      <c r="X634" s="223"/>
      <c r="Y634" s="98"/>
      <c r="Z634" s="97"/>
      <c r="AA634" s="99"/>
    </row>
    <row r="635" spans="1:27" s="95" customFormat="1">
      <c r="A635" s="34"/>
      <c r="B635" s="76"/>
      <c r="C635" s="76"/>
      <c r="D635" s="187"/>
      <c r="E635" s="43"/>
      <c r="F635" s="43"/>
      <c r="G635" s="43"/>
      <c r="H635" s="43"/>
      <c r="I635" s="43"/>
      <c r="J635" s="43"/>
      <c r="K635" s="43"/>
      <c r="L635" s="43"/>
      <c r="M635" s="43"/>
      <c r="N635" s="37"/>
      <c r="O635" s="38"/>
      <c r="P635" s="34"/>
      <c r="Q635" s="34"/>
      <c r="R635" s="76"/>
      <c r="S635" s="47"/>
      <c r="T635" s="42"/>
      <c r="U635" s="42"/>
      <c r="W635" s="96"/>
      <c r="X635" s="223"/>
      <c r="Y635" s="98"/>
      <c r="Z635" s="97"/>
      <c r="AA635" s="99"/>
    </row>
    <row r="636" spans="1:27" s="95" customFormat="1">
      <c r="A636" s="34"/>
      <c r="B636" s="76"/>
      <c r="C636" s="76"/>
      <c r="D636" s="187"/>
      <c r="E636" s="43"/>
      <c r="F636" s="43"/>
      <c r="G636" s="43"/>
      <c r="H636" s="43"/>
      <c r="I636" s="43"/>
      <c r="J636" s="43"/>
      <c r="K636" s="43"/>
      <c r="L636" s="43"/>
      <c r="M636" s="43"/>
      <c r="N636" s="37"/>
      <c r="O636" s="38"/>
      <c r="P636" s="34"/>
      <c r="Q636" s="34"/>
      <c r="R636" s="76"/>
      <c r="S636" s="47"/>
      <c r="T636" s="42"/>
      <c r="U636" s="42"/>
      <c r="W636" s="96"/>
      <c r="X636" s="223"/>
      <c r="Y636" s="98"/>
      <c r="Z636" s="97"/>
      <c r="AA636" s="99"/>
    </row>
    <row r="637" spans="1:27" s="95" customFormat="1">
      <c r="A637" s="34"/>
      <c r="B637" s="76"/>
      <c r="C637" s="76"/>
      <c r="D637" s="187"/>
      <c r="E637" s="43"/>
      <c r="F637" s="43"/>
      <c r="G637" s="43"/>
      <c r="H637" s="43"/>
      <c r="I637" s="43"/>
      <c r="J637" s="43"/>
      <c r="K637" s="43"/>
      <c r="L637" s="43"/>
      <c r="M637" s="43"/>
      <c r="N637" s="37"/>
      <c r="O637" s="38"/>
      <c r="P637" s="34"/>
      <c r="Q637" s="34"/>
      <c r="R637" s="76"/>
      <c r="S637" s="47"/>
      <c r="T637" s="42"/>
      <c r="U637" s="42"/>
      <c r="W637" s="96"/>
      <c r="X637" s="223"/>
      <c r="Y637" s="98"/>
      <c r="Z637" s="97"/>
      <c r="AA637" s="99"/>
    </row>
    <row r="638" spans="1:27" s="95" customFormat="1">
      <c r="A638" s="34"/>
      <c r="B638" s="76"/>
      <c r="C638" s="76"/>
      <c r="D638" s="187"/>
      <c r="E638" s="43"/>
      <c r="F638" s="43"/>
      <c r="G638" s="43"/>
      <c r="H638" s="43"/>
      <c r="I638" s="43"/>
      <c r="J638" s="43"/>
      <c r="K638" s="43"/>
      <c r="L638" s="43"/>
      <c r="M638" s="43"/>
      <c r="N638" s="37"/>
      <c r="O638" s="38"/>
      <c r="P638" s="34"/>
      <c r="Q638" s="34"/>
      <c r="R638" s="76"/>
      <c r="S638" s="47"/>
      <c r="T638" s="42"/>
      <c r="U638" s="42"/>
      <c r="W638" s="96"/>
      <c r="X638" s="223"/>
      <c r="Y638" s="98"/>
      <c r="Z638" s="97"/>
      <c r="AA638" s="99"/>
    </row>
    <row r="639" spans="1:27" s="95" customFormat="1">
      <c r="A639" s="34"/>
      <c r="B639" s="76"/>
      <c r="C639" s="76"/>
      <c r="D639" s="187"/>
      <c r="E639" s="43"/>
      <c r="F639" s="43"/>
      <c r="G639" s="43"/>
      <c r="H639" s="43"/>
      <c r="I639" s="43"/>
      <c r="J639" s="43"/>
      <c r="K639" s="43"/>
      <c r="L639" s="43"/>
      <c r="M639" s="43"/>
      <c r="N639" s="37"/>
      <c r="O639" s="38"/>
      <c r="P639" s="34"/>
      <c r="Q639" s="34"/>
      <c r="R639" s="76"/>
      <c r="S639" s="47"/>
      <c r="T639" s="42"/>
      <c r="U639" s="42"/>
      <c r="W639" s="96"/>
      <c r="X639" s="223"/>
      <c r="Y639" s="98"/>
      <c r="Z639" s="97"/>
      <c r="AA639" s="99"/>
    </row>
    <row r="640" spans="1:27" s="95" customFormat="1">
      <c r="A640" s="34"/>
      <c r="B640" s="76"/>
      <c r="C640" s="76"/>
      <c r="D640" s="187"/>
      <c r="E640" s="43"/>
      <c r="F640" s="43"/>
      <c r="G640" s="43"/>
      <c r="H640" s="43"/>
      <c r="I640" s="43"/>
      <c r="J640" s="43"/>
      <c r="K640" s="43"/>
      <c r="L640" s="43"/>
      <c r="M640" s="43"/>
      <c r="N640" s="37"/>
      <c r="O640" s="38"/>
      <c r="P640" s="34"/>
      <c r="Q640" s="39"/>
      <c r="R640" s="84"/>
      <c r="S640" s="47"/>
      <c r="T640" s="42"/>
      <c r="U640" s="42"/>
      <c r="W640" s="96"/>
      <c r="X640" s="223"/>
      <c r="Y640" s="98"/>
      <c r="Z640" s="97"/>
      <c r="AA640" s="99"/>
    </row>
    <row r="641" spans="1:27" s="95" customFormat="1">
      <c r="A641" s="34"/>
      <c r="B641" s="76"/>
      <c r="C641" s="76"/>
      <c r="D641" s="187"/>
      <c r="E641" s="43"/>
      <c r="F641" s="43"/>
      <c r="G641" s="43"/>
      <c r="H641" s="43"/>
      <c r="I641" s="43"/>
      <c r="J641" s="43"/>
      <c r="K641" s="43"/>
      <c r="L641" s="43"/>
      <c r="M641" s="43"/>
      <c r="N641" s="37"/>
      <c r="O641" s="38"/>
      <c r="P641" s="34"/>
      <c r="Q641" s="39"/>
      <c r="R641" s="84"/>
      <c r="S641" s="47"/>
      <c r="T641" s="42"/>
      <c r="U641" s="42"/>
      <c r="W641" s="96"/>
      <c r="X641" s="223"/>
      <c r="Y641" s="98"/>
      <c r="Z641" s="97"/>
      <c r="AA641" s="99"/>
    </row>
    <row r="642" spans="1:27" s="95" customFormat="1">
      <c r="A642" s="34"/>
      <c r="B642" s="76"/>
      <c r="C642" s="76"/>
      <c r="D642" s="187"/>
      <c r="E642" s="43"/>
      <c r="F642" s="43"/>
      <c r="G642" s="43"/>
      <c r="H642" s="43"/>
      <c r="I642" s="43"/>
      <c r="J642" s="43"/>
      <c r="K642" s="43"/>
      <c r="L642" s="43"/>
      <c r="M642" s="43"/>
      <c r="N642" s="37"/>
      <c r="O642" s="38"/>
      <c r="P642" s="34"/>
      <c r="Q642" s="39"/>
      <c r="R642" s="84"/>
      <c r="S642" s="47"/>
      <c r="T642" s="42"/>
      <c r="U642" s="42"/>
      <c r="W642" s="96"/>
      <c r="X642" s="223"/>
      <c r="Y642" s="98"/>
      <c r="Z642" s="97"/>
      <c r="AA642" s="99"/>
    </row>
    <row r="643" spans="1:27" s="95" customFormat="1">
      <c r="A643" s="34"/>
      <c r="B643" s="76"/>
      <c r="C643" s="76"/>
      <c r="D643" s="187"/>
      <c r="E643" s="43"/>
      <c r="F643" s="43"/>
      <c r="G643" s="43"/>
      <c r="H643" s="43"/>
      <c r="I643" s="43"/>
      <c r="J643" s="43"/>
      <c r="K643" s="43"/>
      <c r="L643" s="43"/>
      <c r="M643" s="43"/>
      <c r="N643" s="37"/>
      <c r="O643" s="38"/>
      <c r="P643" s="34"/>
      <c r="Q643" s="39"/>
      <c r="R643" s="84"/>
      <c r="S643" s="47"/>
      <c r="T643" s="42"/>
      <c r="U643" s="42"/>
      <c r="W643" s="96"/>
      <c r="X643" s="223"/>
      <c r="Y643" s="98"/>
      <c r="Z643" s="97"/>
      <c r="AA643" s="99"/>
    </row>
    <row r="644" spans="1:27" s="95" customFormat="1">
      <c r="A644" s="34"/>
      <c r="B644" s="76"/>
      <c r="C644" s="76"/>
      <c r="D644" s="187"/>
      <c r="E644" s="43"/>
      <c r="F644" s="43"/>
      <c r="G644" s="43"/>
      <c r="H644" s="43"/>
      <c r="I644" s="43"/>
      <c r="J644" s="43"/>
      <c r="K644" s="43"/>
      <c r="L644" s="43"/>
      <c r="M644" s="43"/>
      <c r="N644" s="37"/>
      <c r="O644" s="38"/>
      <c r="P644" s="34"/>
      <c r="Q644" s="39"/>
      <c r="R644" s="84"/>
      <c r="S644" s="47"/>
      <c r="T644" s="42"/>
      <c r="U644" s="42"/>
      <c r="W644" s="96"/>
      <c r="X644" s="223"/>
      <c r="Y644" s="98"/>
      <c r="Z644" s="97"/>
      <c r="AA644" s="99"/>
    </row>
    <row r="645" spans="1:27" s="95" customFormat="1">
      <c r="A645" s="34"/>
      <c r="B645" s="76"/>
      <c r="C645" s="76"/>
      <c r="D645" s="187"/>
      <c r="E645" s="43"/>
      <c r="F645" s="43"/>
      <c r="G645" s="43"/>
      <c r="H645" s="43"/>
      <c r="I645" s="43"/>
      <c r="J645" s="43"/>
      <c r="K645" s="43"/>
      <c r="L645" s="43"/>
      <c r="M645" s="43"/>
      <c r="N645" s="37"/>
      <c r="O645" s="38"/>
      <c r="P645" s="34"/>
      <c r="Q645" s="39"/>
      <c r="R645" s="84"/>
      <c r="S645" s="47"/>
      <c r="T645" s="42"/>
      <c r="U645" s="42"/>
      <c r="W645" s="96"/>
      <c r="X645" s="223"/>
      <c r="Y645" s="98"/>
      <c r="Z645" s="97"/>
      <c r="AA645" s="99"/>
    </row>
    <row r="646" spans="1:27" s="95" customFormat="1">
      <c r="A646" s="34"/>
      <c r="B646" s="76"/>
      <c r="C646" s="76"/>
      <c r="D646" s="187"/>
      <c r="E646" s="43"/>
      <c r="F646" s="43"/>
      <c r="G646" s="43"/>
      <c r="H646" s="43"/>
      <c r="I646" s="43"/>
      <c r="J646" s="43"/>
      <c r="K646" s="43"/>
      <c r="L646" s="43"/>
      <c r="M646" s="43"/>
      <c r="N646" s="37"/>
      <c r="O646" s="38"/>
      <c r="P646" s="34"/>
      <c r="Q646" s="39"/>
      <c r="R646" s="84"/>
      <c r="S646" s="47"/>
      <c r="T646" s="42"/>
      <c r="U646" s="42"/>
      <c r="W646" s="96"/>
      <c r="X646" s="223"/>
      <c r="Y646" s="98"/>
      <c r="Z646" s="97"/>
      <c r="AA646" s="99"/>
    </row>
    <row r="647" spans="1:27" s="95" customFormat="1">
      <c r="A647" s="34"/>
      <c r="B647" s="76"/>
      <c r="C647" s="76"/>
      <c r="D647" s="187"/>
      <c r="E647" s="43"/>
      <c r="F647" s="43"/>
      <c r="G647" s="43"/>
      <c r="H647" s="43"/>
      <c r="I647" s="43"/>
      <c r="J647" s="43"/>
      <c r="K647" s="43"/>
      <c r="L647" s="43"/>
      <c r="M647" s="43"/>
      <c r="N647" s="37"/>
      <c r="O647" s="38"/>
      <c r="P647" s="34"/>
      <c r="Q647" s="39"/>
      <c r="R647" s="84"/>
      <c r="S647" s="47"/>
      <c r="T647" s="42"/>
      <c r="U647" s="42"/>
      <c r="W647" s="96"/>
      <c r="X647" s="223"/>
      <c r="Y647" s="98"/>
      <c r="Z647" s="97"/>
      <c r="AA647" s="99"/>
    </row>
    <row r="648" spans="1:27" s="95" customFormat="1">
      <c r="A648" s="34"/>
      <c r="B648" s="76"/>
      <c r="C648" s="76"/>
      <c r="D648" s="187"/>
      <c r="E648" s="43"/>
      <c r="F648" s="43"/>
      <c r="G648" s="43"/>
      <c r="H648" s="43"/>
      <c r="I648" s="43"/>
      <c r="J648" s="43"/>
      <c r="K648" s="43"/>
      <c r="L648" s="43"/>
      <c r="M648" s="43"/>
      <c r="N648" s="37"/>
      <c r="O648" s="38"/>
      <c r="P648" s="34"/>
      <c r="Q648" s="39"/>
      <c r="R648" s="84"/>
      <c r="S648" s="47"/>
      <c r="T648" s="42"/>
      <c r="U648" s="42"/>
      <c r="W648" s="96"/>
      <c r="X648" s="223"/>
      <c r="Y648" s="98"/>
      <c r="Z648" s="97"/>
      <c r="AA648" s="99"/>
    </row>
    <row r="649" spans="1:27" s="95" customFormat="1">
      <c r="A649" s="34"/>
      <c r="B649" s="76"/>
      <c r="C649" s="76"/>
      <c r="D649" s="187"/>
      <c r="E649" s="43"/>
      <c r="F649" s="43"/>
      <c r="G649" s="43"/>
      <c r="H649" s="43"/>
      <c r="I649" s="43"/>
      <c r="J649" s="43"/>
      <c r="K649" s="43"/>
      <c r="L649" s="43"/>
      <c r="M649" s="43"/>
      <c r="N649" s="37"/>
      <c r="O649" s="38"/>
      <c r="P649" s="34"/>
      <c r="Q649" s="39"/>
      <c r="R649" s="84"/>
      <c r="S649" s="47"/>
      <c r="T649" s="42"/>
      <c r="U649" s="42"/>
      <c r="W649" s="96"/>
      <c r="X649" s="223"/>
      <c r="Y649" s="98"/>
      <c r="Z649" s="97"/>
      <c r="AA649" s="99"/>
    </row>
    <row r="650" spans="1:27" s="95" customFormat="1">
      <c r="A650" s="34"/>
      <c r="B650" s="76"/>
      <c r="C650" s="76"/>
      <c r="D650" s="187"/>
      <c r="E650" s="43"/>
      <c r="F650" s="43"/>
      <c r="G650" s="43"/>
      <c r="H650" s="43"/>
      <c r="I650" s="43"/>
      <c r="J650" s="43"/>
      <c r="K650" s="43"/>
      <c r="L650" s="43"/>
      <c r="M650" s="43"/>
      <c r="N650" s="37"/>
      <c r="O650" s="38"/>
      <c r="P650" s="34"/>
      <c r="Q650" s="39"/>
      <c r="R650" s="84"/>
      <c r="S650" s="47"/>
      <c r="T650" s="42"/>
      <c r="U650" s="42"/>
      <c r="W650" s="96"/>
      <c r="X650" s="223"/>
      <c r="Y650" s="98"/>
      <c r="Z650" s="97"/>
      <c r="AA650" s="99"/>
    </row>
    <row r="651" spans="1:27" s="95" customFormat="1">
      <c r="A651" s="34"/>
      <c r="B651" s="76"/>
      <c r="C651" s="76"/>
      <c r="D651" s="187"/>
      <c r="E651" s="43"/>
      <c r="F651" s="43"/>
      <c r="G651" s="43"/>
      <c r="H651" s="43"/>
      <c r="I651" s="43"/>
      <c r="J651" s="43"/>
      <c r="K651" s="43"/>
      <c r="L651" s="43"/>
      <c r="M651" s="43"/>
      <c r="N651" s="37"/>
      <c r="O651" s="38"/>
      <c r="P651" s="34"/>
      <c r="Q651" s="39"/>
      <c r="R651" s="84"/>
      <c r="S651" s="47"/>
      <c r="T651" s="42"/>
      <c r="U651" s="42"/>
      <c r="W651" s="96"/>
      <c r="X651" s="223"/>
      <c r="Y651" s="98"/>
      <c r="Z651" s="97"/>
      <c r="AA651" s="99"/>
    </row>
    <row r="652" spans="1:27" s="95" customFormat="1">
      <c r="A652" s="34"/>
      <c r="B652" s="76"/>
      <c r="C652" s="76"/>
      <c r="D652" s="187"/>
      <c r="E652" s="43"/>
      <c r="F652" s="43"/>
      <c r="G652" s="43"/>
      <c r="H652" s="43"/>
      <c r="I652" s="43"/>
      <c r="J652" s="43"/>
      <c r="K652" s="43"/>
      <c r="L652" s="43"/>
      <c r="M652" s="43"/>
      <c r="N652" s="37"/>
      <c r="O652" s="38"/>
      <c r="P652" s="34"/>
      <c r="Q652" s="39"/>
      <c r="R652" s="84"/>
      <c r="S652" s="47"/>
      <c r="T652" s="42"/>
      <c r="U652" s="42"/>
      <c r="W652" s="96"/>
      <c r="X652" s="223"/>
      <c r="Y652" s="98"/>
      <c r="Z652" s="97"/>
      <c r="AA652" s="99"/>
    </row>
    <row r="653" spans="1:27" s="95" customFormat="1">
      <c r="A653" s="34"/>
      <c r="B653" s="76"/>
      <c r="C653" s="76"/>
      <c r="D653" s="187"/>
      <c r="E653" s="43"/>
      <c r="F653" s="43"/>
      <c r="G653" s="43"/>
      <c r="H653" s="43"/>
      <c r="I653" s="43"/>
      <c r="J653" s="43"/>
      <c r="K653" s="43"/>
      <c r="L653" s="43"/>
      <c r="M653" s="43"/>
      <c r="N653" s="37"/>
      <c r="O653" s="38"/>
      <c r="P653" s="34"/>
      <c r="Q653" s="39"/>
      <c r="R653" s="84"/>
      <c r="S653" s="47"/>
      <c r="T653" s="42"/>
      <c r="U653" s="42"/>
      <c r="W653" s="96"/>
      <c r="X653" s="223"/>
      <c r="Y653" s="98"/>
      <c r="Z653" s="97"/>
      <c r="AA653" s="99"/>
    </row>
    <row r="654" spans="1:27" s="95" customFormat="1">
      <c r="A654" s="34"/>
      <c r="B654" s="76"/>
      <c r="C654" s="76"/>
      <c r="D654" s="187"/>
      <c r="E654" s="43"/>
      <c r="F654" s="43"/>
      <c r="G654" s="43"/>
      <c r="H654" s="43"/>
      <c r="I654" s="43"/>
      <c r="J654" s="43"/>
      <c r="K654" s="43"/>
      <c r="L654" s="43"/>
      <c r="M654" s="43"/>
      <c r="N654" s="37"/>
      <c r="O654" s="38"/>
      <c r="P654" s="34"/>
      <c r="Q654" s="39"/>
      <c r="R654" s="84"/>
      <c r="S654" s="47"/>
      <c r="T654" s="42"/>
      <c r="U654" s="42"/>
      <c r="W654" s="96"/>
      <c r="X654" s="223"/>
      <c r="Y654" s="98"/>
      <c r="Z654" s="97"/>
      <c r="AA654" s="99"/>
    </row>
    <row r="655" spans="1:27" s="95" customFormat="1">
      <c r="A655" s="34"/>
      <c r="B655" s="76"/>
      <c r="C655" s="76"/>
      <c r="D655" s="187"/>
      <c r="E655" s="43"/>
      <c r="F655" s="43"/>
      <c r="G655" s="43"/>
      <c r="H655" s="43"/>
      <c r="I655" s="43"/>
      <c r="J655" s="43"/>
      <c r="K655" s="43"/>
      <c r="L655" s="43"/>
      <c r="M655" s="43"/>
      <c r="N655" s="37"/>
      <c r="O655" s="38"/>
      <c r="P655" s="34"/>
      <c r="Q655" s="34"/>
      <c r="R655" s="76"/>
      <c r="S655" s="48"/>
      <c r="T655" s="42"/>
      <c r="U655" s="42"/>
      <c r="W655" s="96"/>
      <c r="X655" s="223"/>
      <c r="Y655" s="98"/>
      <c r="Z655" s="97"/>
      <c r="AA655" s="99"/>
    </row>
    <row r="656" spans="1:27" s="95" customFormat="1">
      <c r="A656" s="34"/>
      <c r="B656" s="76"/>
      <c r="C656" s="76"/>
      <c r="D656" s="187"/>
      <c r="E656" s="43"/>
      <c r="F656" s="43"/>
      <c r="G656" s="43"/>
      <c r="H656" s="43"/>
      <c r="I656" s="43"/>
      <c r="J656" s="43"/>
      <c r="K656" s="43"/>
      <c r="L656" s="43"/>
      <c r="M656" s="43"/>
      <c r="N656" s="37"/>
      <c r="O656" s="38"/>
      <c r="P656" s="34"/>
      <c r="Q656" s="34"/>
      <c r="R656" s="76"/>
      <c r="S656" s="47"/>
      <c r="T656" s="42"/>
      <c r="U656" s="42"/>
      <c r="W656" s="96"/>
      <c r="X656" s="223"/>
      <c r="Y656" s="98"/>
      <c r="Z656" s="97"/>
      <c r="AA656" s="99"/>
    </row>
    <row r="657" spans="1:27" s="95" customFormat="1">
      <c r="A657" s="34"/>
      <c r="B657" s="76"/>
      <c r="C657" s="76"/>
      <c r="D657" s="187"/>
      <c r="E657" s="43"/>
      <c r="F657" s="43"/>
      <c r="G657" s="43"/>
      <c r="H657" s="43"/>
      <c r="I657" s="43"/>
      <c r="J657" s="43"/>
      <c r="K657" s="43"/>
      <c r="L657" s="43"/>
      <c r="M657" s="43"/>
      <c r="N657" s="37"/>
      <c r="O657" s="38"/>
      <c r="P657" s="34"/>
      <c r="Q657" s="49"/>
      <c r="R657" s="85"/>
      <c r="S657" s="47"/>
      <c r="T657" s="42"/>
      <c r="U657" s="42"/>
      <c r="W657" s="96"/>
      <c r="X657" s="223"/>
      <c r="Y657" s="98"/>
      <c r="Z657" s="97"/>
      <c r="AA657" s="99"/>
    </row>
    <row r="658" spans="1:27" s="95" customFormat="1">
      <c r="A658" s="34"/>
      <c r="B658" s="76"/>
      <c r="C658" s="76"/>
      <c r="D658" s="187"/>
      <c r="E658" s="43"/>
      <c r="F658" s="43"/>
      <c r="G658" s="43"/>
      <c r="H658" s="43"/>
      <c r="I658" s="43"/>
      <c r="J658" s="43"/>
      <c r="K658" s="43"/>
      <c r="L658" s="43"/>
      <c r="M658" s="43"/>
      <c r="N658" s="37"/>
      <c r="O658" s="38"/>
      <c r="P658" s="34"/>
      <c r="Q658" s="49"/>
      <c r="R658" s="85"/>
      <c r="S658" s="47"/>
      <c r="T658" s="42"/>
      <c r="U658" s="42"/>
      <c r="W658" s="96"/>
      <c r="X658" s="223"/>
      <c r="Y658" s="98"/>
      <c r="Z658" s="97"/>
      <c r="AA658" s="99"/>
    </row>
    <row r="659" spans="1:27" s="95" customFormat="1">
      <c r="A659" s="34"/>
      <c r="B659" s="76"/>
      <c r="C659" s="76"/>
      <c r="D659" s="187"/>
      <c r="E659" s="43"/>
      <c r="F659" s="43"/>
      <c r="G659" s="43"/>
      <c r="H659" s="43"/>
      <c r="I659" s="43"/>
      <c r="J659" s="43"/>
      <c r="K659" s="43"/>
      <c r="L659" s="43"/>
      <c r="M659" s="43"/>
      <c r="N659" s="37"/>
      <c r="O659" s="38"/>
      <c r="P659" s="34"/>
      <c r="Q659" s="49"/>
      <c r="R659" s="85"/>
      <c r="S659" s="47"/>
      <c r="T659" s="42"/>
      <c r="U659" s="42"/>
      <c r="W659" s="96"/>
      <c r="X659" s="223"/>
      <c r="Y659" s="98"/>
      <c r="Z659" s="97"/>
      <c r="AA659" s="99"/>
    </row>
    <row r="660" spans="1:27" s="95" customFormat="1">
      <c r="A660" s="34"/>
      <c r="B660" s="76"/>
      <c r="C660" s="76"/>
      <c r="D660" s="187"/>
      <c r="E660" s="43"/>
      <c r="F660" s="43"/>
      <c r="G660" s="43"/>
      <c r="H660" s="43"/>
      <c r="I660" s="43"/>
      <c r="J660" s="43"/>
      <c r="K660" s="43"/>
      <c r="L660" s="43"/>
      <c r="M660" s="43"/>
      <c r="N660" s="37"/>
      <c r="O660" s="38"/>
      <c r="P660" s="34"/>
      <c r="Q660" s="49"/>
      <c r="R660" s="85"/>
      <c r="S660" s="47"/>
      <c r="T660" s="42"/>
      <c r="U660" s="42"/>
      <c r="W660" s="96"/>
      <c r="X660" s="223"/>
      <c r="Y660" s="98"/>
      <c r="Z660" s="97"/>
      <c r="AA660" s="99"/>
    </row>
    <row r="661" spans="1:27" s="95" customFormat="1">
      <c r="A661" s="34"/>
      <c r="B661" s="76"/>
      <c r="C661" s="76"/>
      <c r="D661" s="187"/>
      <c r="E661" s="43"/>
      <c r="F661" s="43"/>
      <c r="G661" s="43"/>
      <c r="H661" s="43"/>
      <c r="I661" s="43"/>
      <c r="J661" s="43"/>
      <c r="K661" s="43"/>
      <c r="L661" s="43"/>
      <c r="M661" s="43"/>
      <c r="N661" s="37"/>
      <c r="O661" s="38"/>
      <c r="P661" s="34"/>
      <c r="Q661" s="49"/>
      <c r="R661" s="85"/>
      <c r="S661" s="47"/>
      <c r="T661" s="42"/>
      <c r="U661" s="42"/>
      <c r="W661" s="96"/>
      <c r="X661" s="223"/>
      <c r="Y661" s="98"/>
      <c r="Z661" s="97"/>
      <c r="AA661" s="99"/>
    </row>
    <row r="662" spans="1:27" s="95" customFormat="1">
      <c r="A662" s="34"/>
      <c r="B662" s="76"/>
      <c r="C662" s="76"/>
      <c r="D662" s="187"/>
      <c r="E662" s="43"/>
      <c r="F662" s="43"/>
      <c r="G662" s="43"/>
      <c r="H662" s="43"/>
      <c r="I662" s="43"/>
      <c r="J662" s="43"/>
      <c r="K662" s="43"/>
      <c r="L662" s="43"/>
      <c r="M662" s="43"/>
      <c r="N662" s="37"/>
      <c r="O662" s="38"/>
      <c r="P662" s="34"/>
      <c r="Q662" s="49"/>
      <c r="R662" s="85"/>
      <c r="S662" s="47"/>
      <c r="T662" s="42"/>
      <c r="U662" s="42"/>
      <c r="W662" s="96"/>
      <c r="X662" s="223"/>
      <c r="Y662" s="98"/>
      <c r="Z662" s="97"/>
      <c r="AA662" s="99"/>
    </row>
    <row r="663" spans="1:27" s="95" customFormat="1">
      <c r="A663" s="34"/>
      <c r="B663" s="76"/>
      <c r="C663" s="76"/>
      <c r="D663" s="187"/>
      <c r="E663" s="43"/>
      <c r="F663" s="43"/>
      <c r="G663" s="43"/>
      <c r="H663" s="43"/>
      <c r="I663" s="43"/>
      <c r="J663" s="43"/>
      <c r="K663" s="43"/>
      <c r="L663" s="43"/>
      <c r="M663" s="43"/>
      <c r="N663" s="37"/>
      <c r="O663" s="38"/>
      <c r="P663" s="34"/>
      <c r="Q663" s="49"/>
      <c r="R663" s="85"/>
      <c r="S663" s="47"/>
      <c r="T663" s="42"/>
      <c r="U663" s="42"/>
      <c r="W663" s="96"/>
      <c r="X663" s="223"/>
      <c r="Y663" s="98"/>
      <c r="Z663" s="97"/>
      <c r="AA663" s="99"/>
    </row>
    <row r="664" spans="1:27" s="95" customFormat="1">
      <c r="A664" s="34"/>
      <c r="B664" s="76"/>
      <c r="C664" s="76"/>
      <c r="D664" s="187"/>
      <c r="E664" s="43"/>
      <c r="F664" s="43"/>
      <c r="G664" s="43"/>
      <c r="H664" s="43"/>
      <c r="I664" s="43"/>
      <c r="J664" s="43"/>
      <c r="K664" s="43"/>
      <c r="L664" s="43"/>
      <c r="M664" s="43"/>
      <c r="N664" s="37"/>
      <c r="O664" s="38"/>
      <c r="P664" s="34"/>
      <c r="Q664" s="49"/>
      <c r="R664" s="85"/>
      <c r="S664" s="47"/>
      <c r="T664" s="42"/>
      <c r="U664" s="42"/>
      <c r="W664" s="96"/>
      <c r="X664" s="223"/>
      <c r="Y664" s="98"/>
      <c r="Z664" s="97"/>
      <c r="AA664" s="99"/>
    </row>
    <row r="665" spans="1:27" s="95" customFormat="1">
      <c r="A665" s="34"/>
      <c r="B665" s="76"/>
      <c r="C665" s="76"/>
      <c r="D665" s="187"/>
      <c r="E665" s="43"/>
      <c r="F665" s="43"/>
      <c r="G665" s="43"/>
      <c r="H665" s="43"/>
      <c r="I665" s="43"/>
      <c r="J665" s="43"/>
      <c r="K665" s="43"/>
      <c r="L665" s="43"/>
      <c r="M665" s="43"/>
      <c r="N665" s="37"/>
      <c r="O665" s="38"/>
      <c r="P665" s="34"/>
      <c r="Q665" s="49"/>
      <c r="R665" s="85"/>
      <c r="S665" s="47"/>
      <c r="T665" s="42"/>
      <c r="U665" s="42"/>
      <c r="W665" s="96"/>
      <c r="X665" s="223"/>
      <c r="Y665" s="98"/>
      <c r="Z665" s="97"/>
      <c r="AA665" s="99"/>
    </row>
    <row r="666" spans="1:27" s="95" customFormat="1">
      <c r="A666" s="34"/>
      <c r="B666" s="76"/>
      <c r="C666" s="76"/>
      <c r="D666" s="187"/>
      <c r="E666" s="43"/>
      <c r="F666" s="43"/>
      <c r="G666" s="43"/>
      <c r="H666" s="43"/>
      <c r="I666" s="43"/>
      <c r="J666" s="43"/>
      <c r="K666" s="43"/>
      <c r="L666" s="43"/>
      <c r="M666" s="43"/>
      <c r="N666" s="37"/>
      <c r="O666" s="38"/>
      <c r="P666" s="34"/>
      <c r="Q666" s="49"/>
      <c r="R666" s="85"/>
      <c r="S666" s="47"/>
      <c r="T666" s="42"/>
      <c r="U666" s="42"/>
      <c r="W666" s="96"/>
      <c r="X666" s="223"/>
      <c r="Y666" s="98"/>
      <c r="Z666" s="97"/>
      <c r="AA666" s="99"/>
    </row>
    <row r="667" spans="1:27" s="95" customFormat="1">
      <c r="A667" s="34"/>
      <c r="B667" s="76"/>
      <c r="C667" s="76"/>
      <c r="D667" s="187"/>
      <c r="E667" s="43"/>
      <c r="F667" s="43"/>
      <c r="G667" s="43"/>
      <c r="H667" s="43"/>
      <c r="I667" s="43"/>
      <c r="J667" s="43"/>
      <c r="K667" s="43"/>
      <c r="L667" s="43"/>
      <c r="M667" s="43"/>
      <c r="N667" s="37"/>
      <c r="O667" s="38"/>
      <c r="P667" s="34"/>
      <c r="Q667" s="49"/>
      <c r="R667" s="85"/>
      <c r="S667" s="47"/>
      <c r="T667" s="42"/>
      <c r="U667" s="42"/>
      <c r="W667" s="96"/>
      <c r="X667" s="223"/>
      <c r="Y667" s="98"/>
      <c r="Z667" s="97"/>
      <c r="AA667" s="99"/>
    </row>
    <row r="668" spans="1:27" s="95" customFormat="1">
      <c r="A668" s="34"/>
      <c r="B668" s="76"/>
      <c r="C668" s="76"/>
      <c r="D668" s="187"/>
      <c r="E668" s="43"/>
      <c r="F668" s="43"/>
      <c r="G668" s="43"/>
      <c r="H668" s="43"/>
      <c r="I668" s="43"/>
      <c r="J668" s="43"/>
      <c r="K668" s="43"/>
      <c r="L668" s="43"/>
      <c r="M668" s="43"/>
      <c r="N668" s="37"/>
      <c r="O668" s="38"/>
      <c r="P668" s="34"/>
      <c r="Q668" s="49"/>
      <c r="R668" s="85"/>
      <c r="S668" s="47"/>
      <c r="T668" s="42"/>
      <c r="U668" s="42"/>
      <c r="W668" s="96"/>
      <c r="X668" s="223"/>
      <c r="Y668" s="98"/>
      <c r="Z668" s="97"/>
      <c r="AA668" s="99"/>
    </row>
    <row r="669" spans="1:27" s="95" customFormat="1">
      <c r="A669" s="34"/>
      <c r="B669" s="76"/>
      <c r="C669" s="76"/>
      <c r="D669" s="187"/>
      <c r="E669" s="43"/>
      <c r="F669" s="43"/>
      <c r="G669" s="43"/>
      <c r="H669" s="43"/>
      <c r="I669" s="43"/>
      <c r="J669" s="43"/>
      <c r="K669" s="43"/>
      <c r="L669" s="43"/>
      <c r="M669" s="43"/>
      <c r="N669" s="37"/>
      <c r="O669" s="38"/>
      <c r="P669" s="34"/>
      <c r="Q669" s="49"/>
      <c r="R669" s="85"/>
      <c r="S669" s="47"/>
      <c r="T669" s="42"/>
      <c r="U669" s="42"/>
      <c r="W669" s="96"/>
      <c r="X669" s="223"/>
      <c r="Y669" s="98"/>
      <c r="Z669" s="97"/>
      <c r="AA669" s="99"/>
    </row>
    <row r="670" spans="1:27" s="95" customFormat="1">
      <c r="A670" s="34"/>
      <c r="B670" s="76"/>
      <c r="C670" s="76"/>
      <c r="D670" s="187"/>
      <c r="E670" s="43"/>
      <c r="F670" s="43"/>
      <c r="G670" s="43"/>
      <c r="H670" s="43"/>
      <c r="I670" s="43"/>
      <c r="J670" s="43"/>
      <c r="K670" s="43"/>
      <c r="L670" s="43"/>
      <c r="M670" s="43"/>
      <c r="N670" s="37"/>
      <c r="O670" s="38"/>
      <c r="P670" s="34"/>
      <c r="Q670" s="49"/>
      <c r="R670" s="85"/>
      <c r="S670" s="47"/>
      <c r="T670" s="42"/>
      <c r="U670" s="42"/>
      <c r="W670" s="96"/>
      <c r="X670" s="223"/>
      <c r="Y670" s="98"/>
      <c r="Z670" s="97"/>
      <c r="AA670" s="99"/>
    </row>
    <row r="671" spans="1:27" s="95" customFormat="1">
      <c r="A671" s="34"/>
      <c r="B671" s="76"/>
      <c r="C671" s="76"/>
      <c r="D671" s="187"/>
      <c r="E671" s="43"/>
      <c r="F671" s="43"/>
      <c r="G671" s="43"/>
      <c r="H671" s="43"/>
      <c r="I671" s="43"/>
      <c r="J671" s="43"/>
      <c r="K671" s="43"/>
      <c r="L671" s="43"/>
      <c r="M671" s="43"/>
      <c r="N671" s="37"/>
      <c r="O671" s="38"/>
      <c r="P671" s="34"/>
      <c r="Q671" s="49"/>
      <c r="R671" s="85"/>
      <c r="S671" s="47"/>
      <c r="T671" s="42"/>
      <c r="U671" s="42"/>
      <c r="W671" s="96"/>
      <c r="X671" s="223"/>
      <c r="Y671" s="98"/>
      <c r="Z671" s="97"/>
      <c r="AA671" s="99"/>
    </row>
    <row r="672" spans="1:27" s="95" customFormat="1">
      <c r="A672" s="34"/>
      <c r="B672" s="76"/>
      <c r="C672" s="76"/>
      <c r="D672" s="187"/>
      <c r="E672" s="43"/>
      <c r="F672" s="43"/>
      <c r="G672" s="43"/>
      <c r="H672" s="43"/>
      <c r="I672" s="43"/>
      <c r="J672" s="43"/>
      <c r="K672" s="43"/>
      <c r="L672" s="43"/>
      <c r="M672" s="43"/>
      <c r="N672" s="37"/>
      <c r="O672" s="38"/>
      <c r="P672" s="34"/>
      <c r="Q672" s="49"/>
      <c r="R672" s="85"/>
      <c r="S672" s="47"/>
      <c r="T672" s="42"/>
      <c r="U672" s="42"/>
      <c r="W672" s="96"/>
      <c r="X672" s="223"/>
      <c r="Y672" s="98"/>
      <c r="Z672" s="97"/>
      <c r="AA672" s="99"/>
    </row>
    <row r="673" spans="1:27" s="95" customFormat="1">
      <c r="A673" s="34"/>
      <c r="B673" s="76"/>
      <c r="C673" s="76"/>
      <c r="D673" s="187"/>
      <c r="E673" s="43"/>
      <c r="F673" s="43"/>
      <c r="G673" s="43"/>
      <c r="H673" s="43"/>
      <c r="I673" s="43"/>
      <c r="J673" s="43"/>
      <c r="K673" s="43"/>
      <c r="L673" s="43"/>
      <c r="M673" s="43"/>
      <c r="N673" s="37"/>
      <c r="O673" s="38"/>
      <c r="P673" s="34"/>
      <c r="Q673" s="49"/>
      <c r="R673" s="85"/>
      <c r="S673" s="47"/>
      <c r="T673" s="42"/>
      <c r="U673" s="42"/>
      <c r="W673" s="96"/>
      <c r="X673" s="223"/>
      <c r="Y673" s="98"/>
      <c r="Z673" s="97"/>
      <c r="AA673" s="99"/>
    </row>
    <row r="674" spans="1:27" s="95" customFormat="1">
      <c r="A674" s="34"/>
      <c r="B674" s="76"/>
      <c r="C674" s="76"/>
      <c r="D674" s="187"/>
      <c r="E674" s="43"/>
      <c r="F674" s="43"/>
      <c r="G674" s="43"/>
      <c r="H674" s="43"/>
      <c r="I674" s="43"/>
      <c r="J674" s="43"/>
      <c r="K674" s="43"/>
      <c r="L674" s="43"/>
      <c r="M674" s="43"/>
      <c r="N674" s="37"/>
      <c r="O674" s="38"/>
      <c r="P674" s="34"/>
      <c r="Q674" s="49"/>
      <c r="R674" s="85"/>
      <c r="S674" s="47"/>
      <c r="T674" s="42"/>
      <c r="U674" s="42"/>
      <c r="W674" s="96"/>
      <c r="X674" s="223"/>
      <c r="Y674" s="98"/>
      <c r="Z674" s="97"/>
      <c r="AA674" s="99"/>
    </row>
    <row r="675" spans="1:27" s="95" customFormat="1">
      <c r="A675" s="34"/>
      <c r="B675" s="76"/>
      <c r="C675" s="76"/>
      <c r="D675" s="187"/>
      <c r="E675" s="43"/>
      <c r="F675" s="43"/>
      <c r="G675" s="43"/>
      <c r="H675" s="43"/>
      <c r="I675" s="43"/>
      <c r="J675" s="43"/>
      <c r="K675" s="43"/>
      <c r="L675" s="43"/>
      <c r="M675" s="43"/>
      <c r="N675" s="37"/>
      <c r="O675" s="38"/>
      <c r="P675" s="34"/>
      <c r="Q675" s="49"/>
      <c r="R675" s="85"/>
      <c r="S675" s="47"/>
      <c r="T675" s="42"/>
      <c r="U675" s="42"/>
      <c r="W675" s="96"/>
      <c r="X675" s="223"/>
      <c r="Y675" s="98"/>
      <c r="Z675" s="97"/>
      <c r="AA675" s="99"/>
    </row>
    <row r="676" spans="1:27" s="95" customFormat="1">
      <c r="A676" s="34"/>
      <c r="B676" s="76"/>
      <c r="C676" s="76"/>
      <c r="D676" s="187"/>
      <c r="E676" s="43"/>
      <c r="F676" s="43"/>
      <c r="G676" s="43"/>
      <c r="H676" s="43"/>
      <c r="I676" s="43"/>
      <c r="J676" s="43"/>
      <c r="K676" s="43"/>
      <c r="L676" s="43"/>
      <c r="M676" s="43"/>
      <c r="N676" s="37"/>
      <c r="O676" s="38"/>
      <c r="P676" s="34"/>
      <c r="Q676" s="49"/>
      <c r="R676" s="85"/>
      <c r="S676" s="47"/>
      <c r="T676" s="42"/>
      <c r="U676" s="42"/>
      <c r="W676" s="96"/>
      <c r="X676" s="223"/>
      <c r="Y676" s="98"/>
      <c r="Z676" s="97"/>
      <c r="AA676" s="99"/>
    </row>
    <row r="677" spans="1:27" s="95" customFormat="1">
      <c r="A677" s="34"/>
      <c r="B677" s="76"/>
      <c r="C677" s="76"/>
      <c r="D677" s="187"/>
      <c r="E677" s="43"/>
      <c r="F677" s="43"/>
      <c r="G677" s="43"/>
      <c r="H677" s="43"/>
      <c r="I677" s="43"/>
      <c r="J677" s="43"/>
      <c r="K677" s="43"/>
      <c r="L677" s="43"/>
      <c r="M677" s="43"/>
      <c r="N677" s="37"/>
      <c r="O677" s="38"/>
      <c r="P677" s="34"/>
      <c r="Q677" s="49"/>
      <c r="R677" s="85"/>
      <c r="S677" s="47"/>
      <c r="T677" s="42"/>
      <c r="U677" s="42"/>
      <c r="W677" s="96"/>
      <c r="X677" s="223"/>
      <c r="Y677" s="98"/>
      <c r="Z677" s="97"/>
      <c r="AA677" s="99"/>
    </row>
    <row r="678" spans="1:27" s="95" customFormat="1">
      <c r="A678" s="34"/>
      <c r="B678" s="76"/>
      <c r="C678" s="76"/>
      <c r="D678" s="187"/>
      <c r="E678" s="43"/>
      <c r="F678" s="43"/>
      <c r="G678" s="43"/>
      <c r="H678" s="43"/>
      <c r="I678" s="43"/>
      <c r="J678" s="43"/>
      <c r="K678" s="43"/>
      <c r="L678" s="43"/>
      <c r="M678" s="43"/>
      <c r="N678" s="37"/>
      <c r="O678" s="38"/>
      <c r="P678" s="34"/>
      <c r="Q678" s="49"/>
      <c r="R678" s="85"/>
      <c r="S678" s="47"/>
      <c r="T678" s="42"/>
      <c r="U678" s="42"/>
      <c r="W678" s="96"/>
      <c r="X678" s="223"/>
      <c r="Y678" s="98"/>
      <c r="Z678" s="97"/>
      <c r="AA678" s="99"/>
    </row>
    <row r="679" spans="1:27" s="95" customFormat="1">
      <c r="A679" s="34"/>
      <c r="B679" s="76"/>
      <c r="C679" s="76"/>
      <c r="D679" s="187"/>
      <c r="E679" s="43"/>
      <c r="F679" s="43"/>
      <c r="G679" s="43"/>
      <c r="H679" s="43"/>
      <c r="I679" s="43"/>
      <c r="J679" s="43"/>
      <c r="K679" s="43"/>
      <c r="L679" s="43"/>
      <c r="M679" s="43"/>
      <c r="N679" s="37"/>
      <c r="O679" s="38"/>
      <c r="P679" s="34"/>
      <c r="Q679" s="34"/>
      <c r="R679" s="76"/>
      <c r="S679" s="47"/>
      <c r="T679" s="42"/>
      <c r="U679" s="42"/>
      <c r="W679" s="96"/>
      <c r="X679" s="223"/>
      <c r="Y679" s="98"/>
      <c r="Z679" s="97"/>
      <c r="AA679" s="99"/>
    </row>
    <row r="680" spans="1:27" s="95" customFormat="1">
      <c r="A680" s="34"/>
      <c r="B680" s="76"/>
      <c r="C680" s="76"/>
      <c r="D680" s="187"/>
      <c r="E680" s="43"/>
      <c r="F680" s="43"/>
      <c r="G680" s="43"/>
      <c r="H680" s="43"/>
      <c r="I680" s="43"/>
      <c r="J680" s="43"/>
      <c r="K680" s="43"/>
      <c r="L680" s="43"/>
      <c r="M680" s="43"/>
      <c r="N680" s="37"/>
      <c r="O680" s="38"/>
      <c r="P680" s="34"/>
      <c r="Q680" s="34"/>
      <c r="R680" s="76"/>
      <c r="S680" s="47"/>
      <c r="T680" s="42"/>
      <c r="U680" s="42"/>
      <c r="W680" s="96"/>
      <c r="X680" s="223"/>
      <c r="Y680" s="98"/>
      <c r="Z680" s="97"/>
      <c r="AA680" s="99"/>
    </row>
    <row r="681" spans="1:27" s="95" customFormat="1">
      <c r="A681" s="34"/>
      <c r="B681" s="76"/>
      <c r="C681" s="76"/>
      <c r="D681" s="187"/>
      <c r="E681" s="43"/>
      <c r="F681" s="43"/>
      <c r="G681" s="43"/>
      <c r="H681" s="43"/>
      <c r="I681" s="43"/>
      <c r="J681" s="43"/>
      <c r="K681" s="43"/>
      <c r="L681" s="43"/>
      <c r="M681" s="43"/>
      <c r="N681" s="37"/>
      <c r="O681" s="38"/>
      <c r="P681" s="34"/>
      <c r="Q681" s="34"/>
      <c r="R681" s="76"/>
      <c r="S681" s="47"/>
      <c r="T681" s="42"/>
      <c r="U681" s="42"/>
      <c r="W681" s="96"/>
      <c r="X681" s="223"/>
      <c r="Y681" s="98"/>
      <c r="Z681" s="97"/>
      <c r="AA681" s="99"/>
    </row>
    <row r="682" spans="1:27" s="95" customFormat="1">
      <c r="A682" s="34"/>
      <c r="B682" s="76"/>
      <c r="C682" s="76"/>
      <c r="D682" s="187"/>
      <c r="E682" s="43"/>
      <c r="F682" s="43"/>
      <c r="G682" s="43"/>
      <c r="H682" s="43"/>
      <c r="I682" s="43"/>
      <c r="J682" s="43"/>
      <c r="K682" s="43"/>
      <c r="L682" s="43"/>
      <c r="M682" s="43"/>
      <c r="N682" s="37"/>
      <c r="O682" s="38"/>
      <c r="P682" s="34"/>
      <c r="Q682" s="34"/>
      <c r="R682" s="76"/>
      <c r="S682" s="47"/>
      <c r="T682" s="42"/>
      <c r="U682" s="42"/>
      <c r="W682" s="96"/>
      <c r="X682" s="223"/>
      <c r="Y682" s="98"/>
      <c r="Z682" s="97"/>
      <c r="AA682" s="99"/>
    </row>
    <row r="683" spans="1:27" s="95" customFormat="1">
      <c r="A683" s="34"/>
      <c r="B683" s="76"/>
      <c r="C683" s="76"/>
      <c r="D683" s="187"/>
      <c r="E683" s="43"/>
      <c r="F683" s="43"/>
      <c r="G683" s="43"/>
      <c r="H683" s="43"/>
      <c r="I683" s="43"/>
      <c r="J683" s="43"/>
      <c r="K683" s="43"/>
      <c r="L683" s="43"/>
      <c r="M683" s="43"/>
      <c r="N683" s="37"/>
      <c r="O683" s="38"/>
      <c r="P683" s="34"/>
      <c r="Q683" s="34"/>
      <c r="R683" s="76"/>
      <c r="S683" s="47"/>
      <c r="T683" s="42"/>
      <c r="U683" s="42"/>
      <c r="W683" s="96"/>
      <c r="X683" s="223"/>
      <c r="Y683" s="98"/>
      <c r="Z683" s="97"/>
      <c r="AA683" s="99"/>
    </row>
    <row r="684" spans="1:27" s="95" customFormat="1">
      <c r="A684" s="34"/>
      <c r="B684" s="76"/>
      <c r="C684" s="76"/>
      <c r="D684" s="187"/>
      <c r="E684" s="43"/>
      <c r="F684" s="43"/>
      <c r="G684" s="43"/>
      <c r="H684" s="43"/>
      <c r="I684" s="43"/>
      <c r="J684" s="43"/>
      <c r="K684" s="43"/>
      <c r="L684" s="43"/>
      <c r="M684" s="43"/>
      <c r="N684" s="37"/>
      <c r="O684" s="38"/>
      <c r="P684" s="34"/>
      <c r="Q684" s="34"/>
      <c r="R684" s="76"/>
      <c r="S684" s="47"/>
      <c r="T684" s="42"/>
      <c r="U684" s="42"/>
      <c r="W684" s="96"/>
      <c r="X684" s="223"/>
      <c r="Y684" s="98"/>
      <c r="Z684" s="97"/>
      <c r="AA684" s="99"/>
    </row>
    <row r="685" spans="1:27" s="95" customFormat="1">
      <c r="A685" s="34"/>
      <c r="B685" s="76"/>
      <c r="C685" s="76"/>
      <c r="D685" s="187"/>
      <c r="E685" s="43"/>
      <c r="F685" s="43"/>
      <c r="G685" s="43"/>
      <c r="H685" s="43"/>
      <c r="I685" s="43"/>
      <c r="J685" s="43"/>
      <c r="K685" s="43"/>
      <c r="L685" s="43"/>
      <c r="M685" s="43"/>
      <c r="N685" s="37"/>
      <c r="O685" s="38"/>
      <c r="P685" s="34"/>
      <c r="Q685" s="34"/>
      <c r="R685" s="76"/>
      <c r="S685" s="47"/>
      <c r="T685" s="42"/>
      <c r="U685" s="42"/>
      <c r="W685" s="96"/>
      <c r="X685" s="223"/>
      <c r="Y685" s="98"/>
      <c r="Z685" s="97"/>
      <c r="AA685" s="99"/>
    </row>
    <row r="686" spans="1:27" s="95" customFormat="1">
      <c r="A686" s="34"/>
      <c r="B686" s="76"/>
      <c r="C686" s="76"/>
      <c r="D686" s="187"/>
      <c r="E686" s="43"/>
      <c r="F686" s="43"/>
      <c r="G686" s="43"/>
      <c r="H686" s="43"/>
      <c r="I686" s="43"/>
      <c r="J686" s="43"/>
      <c r="K686" s="43"/>
      <c r="L686" s="43"/>
      <c r="M686" s="43"/>
      <c r="N686" s="37"/>
      <c r="O686" s="38"/>
      <c r="P686" s="34"/>
      <c r="Q686" s="34"/>
      <c r="R686" s="76"/>
      <c r="S686" s="47"/>
      <c r="T686" s="42"/>
      <c r="U686" s="42"/>
      <c r="W686" s="96"/>
      <c r="X686" s="223"/>
      <c r="Y686" s="98"/>
      <c r="Z686" s="97"/>
      <c r="AA686" s="99"/>
    </row>
    <row r="687" spans="1:27" s="95" customFormat="1">
      <c r="A687" s="34"/>
      <c r="B687" s="76"/>
      <c r="C687" s="76"/>
      <c r="D687" s="187"/>
      <c r="E687" s="43"/>
      <c r="F687" s="43"/>
      <c r="G687" s="43"/>
      <c r="H687" s="43"/>
      <c r="I687" s="43"/>
      <c r="J687" s="43"/>
      <c r="K687" s="43"/>
      <c r="L687" s="43"/>
      <c r="M687" s="43"/>
      <c r="N687" s="37"/>
      <c r="O687" s="38"/>
      <c r="P687" s="34"/>
      <c r="Q687" s="34"/>
      <c r="R687" s="76"/>
      <c r="S687" s="47"/>
      <c r="T687" s="42"/>
      <c r="U687" s="42"/>
      <c r="W687" s="96"/>
      <c r="X687" s="223"/>
      <c r="Y687" s="98"/>
      <c r="Z687" s="97"/>
      <c r="AA687" s="99"/>
    </row>
    <row r="688" spans="1:27" s="95" customFormat="1">
      <c r="A688" s="34"/>
      <c r="B688" s="76"/>
      <c r="C688" s="76"/>
      <c r="D688" s="187"/>
      <c r="E688" s="43"/>
      <c r="F688" s="43"/>
      <c r="G688" s="43"/>
      <c r="H688" s="43"/>
      <c r="I688" s="43"/>
      <c r="J688" s="43"/>
      <c r="K688" s="43"/>
      <c r="L688" s="43"/>
      <c r="M688" s="43"/>
      <c r="N688" s="37"/>
      <c r="O688" s="38"/>
      <c r="P688" s="34"/>
      <c r="Q688" s="34"/>
      <c r="R688" s="76"/>
      <c r="S688" s="47"/>
      <c r="T688" s="42"/>
      <c r="U688" s="42"/>
      <c r="W688" s="96"/>
      <c r="X688" s="223"/>
      <c r="Y688" s="98"/>
      <c r="Z688" s="97"/>
      <c r="AA688" s="99"/>
    </row>
    <row r="689" spans="1:27" s="95" customFormat="1">
      <c r="A689" s="34"/>
      <c r="B689" s="76"/>
      <c r="C689" s="76"/>
      <c r="D689" s="187"/>
      <c r="E689" s="43"/>
      <c r="F689" s="43"/>
      <c r="G689" s="43"/>
      <c r="H689" s="43"/>
      <c r="I689" s="43"/>
      <c r="J689" s="43"/>
      <c r="K689" s="43"/>
      <c r="L689" s="43"/>
      <c r="M689" s="43"/>
      <c r="N689" s="37"/>
      <c r="O689" s="38"/>
      <c r="P689" s="34"/>
      <c r="Q689" s="34"/>
      <c r="R689" s="76"/>
      <c r="S689" s="47"/>
      <c r="T689" s="42"/>
      <c r="U689" s="42"/>
      <c r="W689" s="96"/>
      <c r="X689" s="223"/>
      <c r="Y689" s="98"/>
      <c r="Z689" s="97"/>
      <c r="AA689" s="99"/>
    </row>
    <row r="690" spans="1:27" s="95" customFormat="1">
      <c r="A690" s="34"/>
      <c r="B690" s="76"/>
      <c r="C690" s="76"/>
      <c r="D690" s="187"/>
      <c r="E690" s="43"/>
      <c r="F690" s="43"/>
      <c r="G690" s="43"/>
      <c r="H690" s="43"/>
      <c r="I690" s="43"/>
      <c r="J690" s="43"/>
      <c r="K690" s="43"/>
      <c r="L690" s="43"/>
      <c r="M690" s="43"/>
      <c r="N690" s="37"/>
      <c r="O690" s="38"/>
      <c r="P690" s="34"/>
      <c r="Q690" s="34"/>
      <c r="R690" s="76"/>
      <c r="S690" s="47"/>
      <c r="T690" s="42"/>
      <c r="U690" s="42"/>
      <c r="W690" s="96"/>
      <c r="X690" s="223"/>
      <c r="Y690" s="98"/>
      <c r="Z690" s="97"/>
      <c r="AA690" s="99"/>
    </row>
    <row r="691" spans="1:27" s="95" customFormat="1">
      <c r="A691" s="34"/>
      <c r="B691" s="76"/>
      <c r="C691" s="76"/>
      <c r="D691" s="187"/>
      <c r="E691" s="43"/>
      <c r="F691" s="43"/>
      <c r="G691" s="43"/>
      <c r="H691" s="43"/>
      <c r="I691" s="43"/>
      <c r="J691" s="43"/>
      <c r="K691" s="43"/>
      <c r="L691" s="43"/>
      <c r="M691" s="43"/>
      <c r="N691" s="37"/>
      <c r="O691" s="38"/>
      <c r="P691" s="34"/>
      <c r="Q691" s="34"/>
      <c r="R691" s="76"/>
      <c r="S691" s="47"/>
      <c r="T691" s="42"/>
      <c r="U691" s="42"/>
      <c r="W691" s="96"/>
      <c r="X691" s="223"/>
      <c r="Y691" s="98"/>
      <c r="Z691" s="97"/>
      <c r="AA691" s="99"/>
    </row>
    <row r="692" spans="1:27" s="95" customFormat="1">
      <c r="A692" s="34"/>
      <c r="B692" s="76"/>
      <c r="C692" s="76"/>
      <c r="D692" s="187"/>
      <c r="E692" s="43"/>
      <c r="F692" s="43"/>
      <c r="G692" s="43"/>
      <c r="H692" s="43"/>
      <c r="I692" s="43"/>
      <c r="J692" s="43"/>
      <c r="K692" s="43"/>
      <c r="L692" s="43"/>
      <c r="M692" s="43"/>
      <c r="N692" s="37"/>
      <c r="O692" s="38"/>
      <c r="P692" s="34"/>
      <c r="Q692" s="34"/>
      <c r="R692" s="76"/>
      <c r="S692" s="47"/>
      <c r="T692" s="42"/>
      <c r="U692" s="42"/>
      <c r="W692" s="96"/>
      <c r="X692" s="223"/>
      <c r="Y692" s="98"/>
      <c r="Z692" s="97"/>
      <c r="AA692" s="99"/>
    </row>
    <row r="693" spans="1:27" s="95" customFormat="1">
      <c r="A693" s="34"/>
      <c r="B693" s="76"/>
      <c r="C693" s="76"/>
      <c r="D693" s="187"/>
      <c r="E693" s="43"/>
      <c r="F693" s="43"/>
      <c r="G693" s="43"/>
      <c r="H693" s="43"/>
      <c r="I693" s="43"/>
      <c r="J693" s="43"/>
      <c r="K693" s="43"/>
      <c r="L693" s="43"/>
      <c r="M693" s="43"/>
      <c r="N693" s="37"/>
      <c r="O693" s="38"/>
      <c r="P693" s="34"/>
      <c r="Q693" s="34"/>
      <c r="R693" s="76"/>
      <c r="S693" s="47"/>
      <c r="T693" s="42"/>
      <c r="U693" s="42"/>
      <c r="W693" s="96"/>
      <c r="X693" s="223"/>
      <c r="Y693" s="98"/>
      <c r="Z693" s="97"/>
      <c r="AA693" s="99"/>
    </row>
    <row r="694" spans="1:27" s="95" customFormat="1">
      <c r="A694" s="34"/>
      <c r="B694" s="76"/>
      <c r="C694" s="76"/>
      <c r="D694" s="187"/>
      <c r="E694" s="43"/>
      <c r="F694" s="43"/>
      <c r="G694" s="43"/>
      <c r="H694" s="43"/>
      <c r="I694" s="43"/>
      <c r="J694" s="43"/>
      <c r="K694" s="43"/>
      <c r="L694" s="43"/>
      <c r="M694" s="43"/>
      <c r="N694" s="37"/>
      <c r="O694" s="38"/>
      <c r="P694" s="34"/>
      <c r="Q694" s="34"/>
      <c r="R694" s="76"/>
      <c r="S694" s="47"/>
      <c r="T694" s="42"/>
      <c r="U694" s="42"/>
      <c r="W694" s="96"/>
      <c r="X694" s="223"/>
      <c r="Y694" s="98"/>
      <c r="Z694" s="97"/>
      <c r="AA694" s="99"/>
    </row>
    <row r="695" spans="1:27" s="95" customFormat="1">
      <c r="A695" s="34"/>
      <c r="B695" s="76"/>
      <c r="C695" s="76"/>
      <c r="D695" s="187"/>
      <c r="E695" s="43"/>
      <c r="F695" s="43"/>
      <c r="G695" s="43"/>
      <c r="H695" s="43"/>
      <c r="I695" s="43"/>
      <c r="J695" s="43"/>
      <c r="K695" s="43"/>
      <c r="L695" s="43"/>
      <c r="M695" s="43"/>
      <c r="N695" s="37"/>
      <c r="O695" s="38"/>
      <c r="P695" s="34"/>
      <c r="Q695" s="34"/>
      <c r="R695" s="76"/>
      <c r="S695" s="47"/>
      <c r="T695" s="42"/>
      <c r="U695" s="42"/>
      <c r="W695" s="96"/>
      <c r="X695" s="223"/>
      <c r="Y695" s="98"/>
      <c r="Z695" s="97"/>
      <c r="AA695" s="99"/>
    </row>
    <row r="696" spans="1:27" s="95" customFormat="1">
      <c r="A696" s="34"/>
      <c r="B696" s="76"/>
      <c r="C696" s="76"/>
      <c r="D696" s="187"/>
      <c r="E696" s="43"/>
      <c r="F696" s="43"/>
      <c r="G696" s="43"/>
      <c r="H696" s="43"/>
      <c r="I696" s="43"/>
      <c r="J696" s="43"/>
      <c r="K696" s="43"/>
      <c r="L696" s="43"/>
      <c r="M696" s="43"/>
      <c r="N696" s="37"/>
      <c r="O696" s="38"/>
      <c r="P696" s="34"/>
      <c r="Q696" s="34"/>
      <c r="R696" s="76"/>
      <c r="S696" s="47"/>
      <c r="T696" s="42"/>
      <c r="U696" s="42"/>
      <c r="W696" s="96"/>
      <c r="X696" s="223"/>
      <c r="Y696" s="98"/>
      <c r="Z696" s="97"/>
      <c r="AA696" s="99"/>
    </row>
    <row r="697" spans="1:27" s="95" customFormat="1">
      <c r="A697" s="34"/>
      <c r="B697" s="76"/>
      <c r="C697" s="76"/>
      <c r="D697" s="187"/>
      <c r="E697" s="43"/>
      <c r="F697" s="43"/>
      <c r="G697" s="43"/>
      <c r="H697" s="43"/>
      <c r="I697" s="43"/>
      <c r="J697" s="43"/>
      <c r="K697" s="43"/>
      <c r="L697" s="43"/>
      <c r="M697" s="43"/>
      <c r="N697" s="37"/>
      <c r="O697" s="38"/>
      <c r="P697" s="34"/>
      <c r="Q697" s="34"/>
      <c r="R697" s="76"/>
      <c r="S697" s="47"/>
      <c r="T697" s="42"/>
      <c r="U697" s="42"/>
      <c r="W697" s="96"/>
      <c r="X697" s="223"/>
      <c r="Y697" s="98"/>
      <c r="Z697" s="97"/>
      <c r="AA697" s="99"/>
    </row>
    <row r="698" spans="1:27" s="95" customFormat="1">
      <c r="A698" s="34"/>
      <c r="B698" s="76"/>
      <c r="C698" s="76"/>
      <c r="D698" s="187"/>
      <c r="E698" s="43"/>
      <c r="F698" s="43"/>
      <c r="G698" s="43"/>
      <c r="H698" s="43"/>
      <c r="I698" s="43"/>
      <c r="J698" s="43"/>
      <c r="K698" s="43"/>
      <c r="L698" s="43"/>
      <c r="M698" s="43"/>
      <c r="N698" s="37"/>
      <c r="O698" s="38"/>
      <c r="P698" s="34"/>
      <c r="Q698" s="34"/>
      <c r="R698" s="76"/>
      <c r="S698" s="47"/>
      <c r="T698" s="42"/>
      <c r="U698" s="42"/>
      <c r="W698" s="96"/>
      <c r="X698" s="223"/>
      <c r="Y698" s="98"/>
      <c r="Z698" s="97"/>
      <c r="AA698" s="99"/>
    </row>
    <row r="699" spans="1:27" s="95" customFormat="1">
      <c r="A699" s="34"/>
      <c r="B699" s="76"/>
      <c r="C699" s="76"/>
      <c r="D699" s="187"/>
      <c r="E699" s="43"/>
      <c r="F699" s="43"/>
      <c r="G699" s="43"/>
      <c r="H699" s="43"/>
      <c r="I699" s="43"/>
      <c r="J699" s="43"/>
      <c r="K699" s="43"/>
      <c r="L699" s="43"/>
      <c r="M699" s="43"/>
      <c r="N699" s="37"/>
      <c r="O699" s="38"/>
      <c r="P699" s="34"/>
      <c r="Q699" s="34"/>
      <c r="R699" s="76"/>
      <c r="S699" s="47"/>
      <c r="T699" s="42"/>
      <c r="U699" s="42"/>
      <c r="W699" s="96"/>
      <c r="X699" s="223"/>
      <c r="Y699" s="98"/>
      <c r="Z699" s="97"/>
      <c r="AA699" s="99"/>
    </row>
    <row r="700" spans="1:27" s="95" customFormat="1">
      <c r="A700" s="34"/>
      <c r="B700" s="76"/>
      <c r="C700" s="76"/>
      <c r="D700" s="187"/>
      <c r="E700" s="43"/>
      <c r="F700" s="43"/>
      <c r="G700" s="43"/>
      <c r="H700" s="43"/>
      <c r="I700" s="43"/>
      <c r="J700" s="43"/>
      <c r="K700" s="43"/>
      <c r="L700" s="43"/>
      <c r="M700" s="43"/>
      <c r="N700" s="37"/>
      <c r="O700" s="38"/>
      <c r="P700" s="34"/>
      <c r="Q700" s="34"/>
      <c r="R700" s="76"/>
      <c r="S700" s="47"/>
      <c r="T700" s="42"/>
      <c r="U700" s="42"/>
      <c r="W700" s="96"/>
      <c r="X700" s="223"/>
      <c r="Y700" s="98"/>
      <c r="Z700" s="97"/>
      <c r="AA700" s="99"/>
    </row>
    <row r="701" spans="1:27" s="95" customFormat="1">
      <c r="A701" s="34"/>
      <c r="B701" s="76"/>
      <c r="C701" s="76"/>
      <c r="D701" s="187"/>
      <c r="E701" s="43"/>
      <c r="F701" s="43"/>
      <c r="G701" s="43"/>
      <c r="H701" s="43"/>
      <c r="I701" s="43"/>
      <c r="J701" s="43"/>
      <c r="K701" s="43"/>
      <c r="L701" s="43"/>
      <c r="M701" s="43"/>
      <c r="N701" s="37"/>
      <c r="O701" s="38"/>
      <c r="P701" s="34"/>
      <c r="Q701" s="34"/>
      <c r="R701" s="76"/>
      <c r="S701" s="47"/>
      <c r="T701" s="42"/>
      <c r="U701" s="42"/>
      <c r="W701" s="96"/>
      <c r="X701" s="223"/>
      <c r="Y701" s="98"/>
      <c r="Z701" s="97"/>
      <c r="AA701" s="99"/>
    </row>
    <row r="702" spans="1:27" s="95" customFormat="1">
      <c r="A702" s="34"/>
      <c r="B702" s="76"/>
      <c r="C702" s="76"/>
      <c r="D702" s="187"/>
      <c r="E702" s="43"/>
      <c r="F702" s="43"/>
      <c r="G702" s="43"/>
      <c r="H702" s="43"/>
      <c r="I702" s="43"/>
      <c r="J702" s="43"/>
      <c r="K702" s="43"/>
      <c r="L702" s="43"/>
      <c r="M702" s="43"/>
      <c r="N702" s="37"/>
      <c r="O702" s="38"/>
      <c r="P702" s="34"/>
      <c r="Q702" s="34"/>
      <c r="R702" s="76"/>
      <c r="S702" s="47"/>
      <c r="T702" s="42"/>
      <c r="U702" s="42"/>
      <c r="W702" s="96"/>
      <c r="X702" s="223"/>
      <c r="Y702" s="98"/>
      <c r="Z702" s="97"/>
      <c r="AA702" s="99"/>
    </row>
    <row r="703" spans="1:27" s="95" customFormat="1">
      <c r="A703" s="34"/>
      <c r="B703" s="76"/>
      <c r="C703" s="76"/>
      <c r="D703" s="187"/>
      <c r="E703" s="43"/>
      <c r="F703" s="43"/>
      <c r="G703" s="43"/>
      <c r="H703" s="43"/>
      <c r="I703" s="43"/>
      <c r="J703" s="43"/>
      <c r="K703" s="43"/>
      <c r="L703" s="43"/>
      <c r="M703" s="43"/>
      <c r="N703" s="37"/>
      <c r="O703" s="38"/>
      <c r="P703" s="34"/>
      <c r="Q703" s="34"/>
      <c r="R703" s="76"/>
      <c r="S703" s="47"/>
      <c r="T703" s="42"/>
      <c r="U703" s="42"/>
      <c r="W703" s="96"/>
      <c r="X703" s="223"/>
      <c r="Y703" s="98"/>
      <c r="Z703" s="97"/>
      <c r="AA703" s="99"/>
    </row>
    <row r="704" spans="1:27" s="95" customFormat="1">
      <c r="A704" s="34"/>
      <c r="B704" s="76"/>
      <c r="C704" s="76"/>
      <c r="D704" s="187"/>
      <c r="E704" s="43"/>
      <c r="F704" s="43"/>
      <c r="G704" s="43"/>
      <c r="H704" s="43"/>
      <c r="I704" s="43"/>
      <c r="J704" s="43"/>
      <c r="K704" s="43"/>
      <c r="L704" s="43"/>
      <c r="M704" s="43"/>
      <c r="N704" s="37"/>
      <c r="O704" s="38"/>
      <c r="P704" s="34"/>
      <c r="Q704" s="34"/>
      <c r="R704" s="76"/>
      <c r="S704" s="47"/>
      <c r="T704" s="42"/>
      <c r="U704" s="42"/>
      <c r="W704" s="96"/>
      <c r="X704" s="223"/>
      <c r="Y704" s="98"/>
      <c r="Z704" s="97"/>
      <c r="AA704" s="99"/>
    </row>
    <row r="705" spans="1:27" s="95" customFormat="1">
      <c r="A705" s="34"/>
      <c r="B705" s="76"/>
      <c r="C705" s="76"/>
      <c r="D705" s="187"/>
      <c r="E705" s="43"/>
      <c r="F705" s="43"/>
      <c r="G705" s="43"/>
      <c r="H705" s="43"/>
      <c r="I705" s="43"/>
      <c r="J705" s="43"/>
      <c r="K705" s="43"/>
      <c r="L705" s="43"/>
      <c r="M705" s="43"/>
      <c r="N705" s="37"/>
      <c r="O705" s="38"/>
      <c r="P705" s="34"/>
      <c r="Q705" s="34"/>
      <c r="R705" s="76"/>
      <c r="S705" s="47"/>
      <c r="T705" s="42"/>
      <c r="U705" s="42"/>
      <c r="W705" s="96"/>
      <c r="X705" s="223"/>
      <c r="Y705" s="98"/>
      <c r="Z705" s="97"/>
      <c r="AA705" s="99"/>
    </row>
    <row r="706" spans="1:27" s="95" customFormat="1">
      <c r="A706" s="34"/>
      <c r="B706" s="76"/>
      <c r="C706" s="76"/>
      <c r="D706" s="187"/>
      <c r="E706" s="43"/>
      <c r="F706" s="43"/>
      <c r="G706" s="43"/>
      <c r="H706" s="43"/>
      <c r="I706" s="43"/>
      <c r="J706" s="43"/>
      <c r="K706" s="43"/>
      <c r="L706" s="43"/>
      <c r="M706" s="43"/>
      <c r="N706" s="37"/>
      <c r="O706" s="38"/>
      <c r="P706" s="34"/>
      <c r="Q706" s="34"/>
      <c r="R706" s="76"/>
      <c r="S706" s="47"/>
      <c r="T706" s="42"/>
      <c r="U706" s="42"/>
      <c r="W706" s="96"/>
      <c r="X706" s="223"/>
      <c r="Y706" s="98"/>
      <c r="Z706" s="97"/>
      <c r="AA706" s="99"/>
    </row>
    <row r="707" spans="1:27" s="95" customFormat="1">
      <c r="A707" s="34"/>
      <c r="B707" s="76"/>
      <c r="C707" s="76"/>
      <c r="D707" s="187"/>
      <c r="E707" s="43"/>
      <c r="F707" s="43"/>
      <c r="G707" s="43"/>
      <c r="H707" s="43"/>
      <c r="I707" s="43"/>
      <c r="J707" s="43"/>
      <c r="K707" s="43"/>
      <c r="L707" s="43"/>
      <c r="M707" s="43"/>
      <c r="N707" s="37"/>
      <c r="O707" s="38"/>
      <c r="P707" s="34"/>
      <c r="Q707" s="34"/>
      <c r="R707" s="76"/>
      <c r="S707" s="47"/>
      <c r="T707" s="42"/>
      <c r="U707" s="42"/>
      <c r="W707" s="96"/>
      <c r="X707" s="223"/>
      <c r="Y707" s="98"/>
      <c r="Z707" s="97"/>
      <c r="AA707" s="99"/>
    </row>
    <row r="708" spans="1:27" s="95" customFormat="1">
      <c r="A708" s="34"/>
      <c r="B708" s="76"/>
      <c r="C708" s="76"/>
      <c r="D708" s="187"/>
      <c r="E708" s="43"/>
      <c r="F708" s="43"/>
      <c r="G708" s="43"/>
      <c r="H708" s="43"/>
      <c r="I708" s="43"/>
      <c r="J708" s="43"/>
      <c r="K708" s="43"/>
      <c r="L708" s="43"/>
      <c r="M708" s="43"/>
      <c r="N708" s="37"/>
      <c r="O708" s="38"/>
      <c r="P708" s="34"/>
      <c r="Q708" s="34"/>
      <c r="R708" s="76"/>
      <c r="S708" s="47"/>
      <c r="T708" s="42"/>
      <c r="U708" s="42"/>
      <c r="W708" s="96"/>
      <c r="X708" s="223"/>
      <c r="Y708" s="98"/>
      <c r="Z708" s="97"/>
      <c r="AA708" s="99"/>
    </row>
    <row r="709" spans="1:27" s="95" customFormat="1">
      <c r="A709" s="34"/>
      <c r="B709" s="76"/>
      <c r="C709" s="76"/>
      <c r="D709" s="187"/>
      <c r="E709" s="43"/>
      <c r="F709" s="43"/>
      <c r="G709" s="43"/>
      <c r="H709" s="43"/>
      <c r="I709" s="43"/>
      <c r="J709" s="43"/>
      <c r="K709" s="43"/>
      <c r="L709" s="43"/>
      <c r="M709" s="43"/>
      <c r="N709" s="37"/>
      <c r="O709" s="38"/>
      <c r="P709" s="34"/>
      <c r="Q709" s="34"/>
      <c r="R709" s="76"/>
      <c r="S709" s="47"/>
      <c r="T709" s="42"/>
      <c r="U709" s="42"/>
      <c r="W709" s="96"/>
      <c r="X709" s="223"/>
      <c r="Y709" s="98"/>
      <c r="Z709" s="97"/>
      <c r="AA709" s="99"/>
    </row>
    <row r="710" spans="1:27" s="95" customFormat="1">
      <c r="A710" s="34"/>
      <c r="B710" s="76"/>
      <c r="C710" s="76"/>
      <c r="D710" s="187"/>
      <c r="E710" s="43"/>
      <c r="F710" s="43"/>
      <c r="G710" s="43"/>
      <c r="H710" s="43"/>
      <c r="I710" s="43"/>
      <c r="J710" s="43"/>
      <c r="K710" s="43"/>
      <c r="L710" s="43"/>
      <c r="M710" s="43"/>
      <c r="N710" s="37"/>
      <c r="O710" s="38"/>
      <c r="P710" s="34"/>
      <c r="Q710" s="34"/>
      <c r="R710" s="76"/>
      <c r="S710" s="47"/>
      <c r="T710" s="42"/>
      <c r="U710" s="42"/>
      <c r="W710" s="96"/>
      <c r="X710" s="223"/>
      <c r="Y710" s="98"/>
      <c r="Z710" s="97"/>
      <c r="AA710" s="99"/>
    </row>
    <row r="711" spans="1:27" s="95" customFormat="1">
      <c r="A711" s="34"/>
      <c r="B711" s="76"/>
      <c r="C711" s="76"/>
      <c r="D711" s="187"/>
      <c r="E711" s="43"/>
      <c r="F711" s="43"/>
      <c r="G711" s="43"/>
      <c r="H711" s="43"/>
      <c r="I711" s="43"/>
      <c r="J711" s="43"/>
      <c r="K711" s="43"/>
      <c r="L711" s="43"/>
      <c r="M711" s="43"/>
      <c r="N711" s="37"/>
      <c r="O711" s="38"/>
      <c r="P711" s="34"/>
      <c r="Q711" s="34"/>
      <c r="R711" s="76"/>
      <c r="S711" s="47"/>
      <c r="T711" s="42"/>
      <c r="U711" s="42"/>
      <c r="W711" s="96"/>
      <c r="X711" s="223"/>
      <c r="Y711" s="98"/>
      <c r="Z711" s="97"/>
      <c r="AA711" s="99"/>
    </row>
    <row r="712" spans="1:27" s="95" customFormat="1">
      <c r="A712" s="34"/>
      <c r="B712" s="76"/>
      <c r="C712" s="76"/>
      <c r="D712" s="187"/>
      <c r="E712" s="43"/>
      <c r="F712" s="43"/>
      <c r="G712" s="43"/>
      <c r="H712" s="43"/>
      <c r="I712" s="43"/>
      <c r="J712" s="43"/>
      <c r="K712" s="43"/>
      <c r="L712" s="43"/>
      <c r="M712" s="43"/>
      <c r="N712" s="37"/>
      <c r="O712" s="38"/>
      <c r="P712" s="34"/>
      <c r="Q712" s="34"/>
      <c r="R712" s="76"/>
      <c r="S712" s="47"/>
      <c r="T712" s="42"/>
      <c r="U712" s="42"/>
      <c r="W712" s="96"/>
      <c r="X712" s="223"/>
      <c r="Y712" s="98"/>
      <c r="Z712" s="97"/>
      <c r="AA712" s="99"/>
    </row>
    <row r="713" spans="1:27" s="95" customFormat="1">
      <c r="A713" s="34"/>
      <c r="B713" s="76"/>
      <c r="C713" s="76"/>
      <c r="D713" s="187"/>
      <c r="E713" s="43"/>
      <c r="F713" s="43"/>
      <c r="G713" s="43"/>
      <c r="H713" s="43"/>
      <c r="I713" s="43"/>
      <c r="J713" s="43"/>
      <c r="K713" s="43"/>
      <c r="L713" s="43"/>
      <c r="M713" s="43"/>
      <c r="N713" s="37"/>
      <c r="O713" s="38"/>
      <c r="P713" s="34"/>
      <c r="Q713" s="34"/>
      <c r="R713" s="76"/>
      <c r="S713" s="47"/>
      <c r="T713" s="42"/>
      <c r="U713" s="42"/>
      <c r="W713" s="96"/>
      <c r="X713" s="223"/>
      <c r="Y713" s="98"/>
      <c r="Z713" s="97"/>
      <c r="AA713" s="99"/>
    </row>
    <row r="714" spans="1:27" s="95" customFormat="1">
      <c r="A714" s="34"/>
      <c r="B714" s="76"/>
      <c r="C714" s="76"/>
      <c r="D714" s="187"/>
      <c r="E714" s="43"/>
      <c r="F714" s="43"/>
      <c r="G714" s="43"/>
      <c r="H714" s="43"/>
      <c r="I714" s="43"/>
      <c r="J714" s="43"/>
      <c r="K714" s="43"/>
      <c r="L714" s="43"/>
      <c r="M714" s="43"/>
      <c r="N714" s="37"/>
      <c r="O714" s="38"/>
      <c r="P714" s="34"/>
      <c r="Q714" s="34"/>
      <c r="R714" s="76"/>
      <c r="S714" s="47"/>
      <c r="T714" s="42"/>
      <c r="U714" s="42"/>
      <c r="W714" s="96"/>
      <c r="X714" s="223"/>
      <c r="Y714" s="98"/>
      <c r="Z714" s="97"/>
      <c r="AA714" s="99"/>
    </row>
    <row r="715" spans="1:27" s="95" customFormat="1">
      <c r="A715" s="34"/>
      <c r="B715" s="76"/>
      <c r="C715" s="76"/>
      <c r="D715" s="187"/>
      <c r="E715" s="43"/>
      <c r="F715" s="43"/>
      <c r="G715" s="43"/>
      <c r="H715" s="43"/>
      <c r="I715" s="43"/>
      <c r="J715" s="43"/>
      <c r="K715" s="43"/>
      <c r="L715" s="43"/>
      <c r="M715" s="43"/>
      <c r="N715" s="37"/>
      <c r="O715" s="38"/>
      <c r="P715" s="34"/>
      <c r="Q715" s="34"/>
      <c r="R715" s="76"/>
      <c r="S715" s="47"/>
      <c r="T715" s="42"/>
      <c r="U715" s="42"/>
      <c r="W715" s="96"/>
      <c r="X715" s="223"/>
      <c r="Y715" s="98"/>
      <c r="Z715" s="97"/>
      <c r="AA715" s="99"/>
    </row>
    <row r="716" spans="1:27" s="95" customFormat="1">
      <c r="A716" s="34"/>
      <c r="B716" s="76"/>
      <c r="C716" s="76"/>
      <c r="D716" s="187"/>
      <c r="E716" s="43"/>
      <c r="F716" s="43"/>
      <c r="G716" s="43"/>
      <c r="H716" s="43"/>
      <c r="I716" s="43"/>
      <c r="J716" s="43"/>
      <c r="K716" s="43"/>
      <c r="L716" s="43"/>
      <c r="M716" s="43"/>
      <c r="N716" s="37"/>
      <c r="O716" s="38"/>
      <c r="P716" s="34"/>
      <c r="Q716" s="34"/>
      <c r="R716" s="76"/>
      <c r="S716" s="47"/>
      <c r="T716" s="42"/>
      <c r="U716" s="42"/>
      <c r="W716" s="96"/>
      <c r="X716" s="223"/>
      <c r="Y716" s="98"/>
      <c r="Z716" s="97"/>
      <c r="AA716" s="99"/>
    </row>
    <row r="717" spans="1:27" s="95" customFormat="1">
      <c r="A717" s="34"/>
      <c r="B717" s="76"/>
      <c r="C717" s="76"/>
      <c r="D717" s="187"/>
      <c r="E717" s="43"/>
      <c r="F717" s="43"/>
      <c r="G717" s="43"/>
      <c r="H717" s="43"/>
      <c r="I717" s="43"/>
      <c r="J717" s="43"/>
      <c r="K717" s="43"/>
      <c r="L717" s="43"/>
      <c r="M717" s="43"/>
      <c r="N717" s="37"/>
      <c r="O717" s="38"/>
      <c r="P717" s="34"/>
      <c r="Q717" s="34"/>
      <c r="R717" s="76"/>
      <c r="S717" s="47"/>
      <c r="T717" s="42"/>
      <c r="U717" s="42"/>
      <c r="W717" s="96"/>
      <c r="X717" s="223"/>
      <c r="Y717" s="98"/>
      <c r="Z717" s="97"/>
      <c r="AA717" s="99"/>
    </row>
    <row r="718" spans="1:27" s="95" customFormat="1">
      <c r="A718" s="34"/>
      <c r="B718" s="76"/>
      <c r="C718" s="76"/>
      <c r="D718" s="187"/>
      <c r="E718" s="43"/>
      <c r="F718" s="43"/>
      <c r="G718" s="43"/>
      <c r="H718" s="43"/>
      <c r="I718" s="43"/>
      <c r="J718" s="43"/>
      <c r="K718" s="43"/>
      <c r="L718" s="43"/>
      <c r="M718" s="43"/>
      <c r="N718" s="37"/>
      <c r="O718" s="38"/>
      <c r="P718" s="34"/>
      <c r="Q718" s="34"/>
      <c r="R718" s="76"/>
      <c r="S718" s="47"/>
      <c r="T718" s="42"/>
      <c r="U718" s="42"/>
      <c r="W718" s="96"/>
      <c r="X718" s="223"/>
      <c r="Y718" s="98"/>
      <c r="Z718" s="97"/>
      <c r="AA718" s="99"/>
    </row>
    <row r="719" spans="1:27" s="95" customFormat="1">
      <c r="A719" s="34"/>
      <c r="B719" s="76"/>
      <c r="C719" s="76"/>
      <c r="D719" s="187"/>
      <c r="E719" s="43"/>
      <c r="F719" s="43"/>
      <c r="G719" s="43"/>
      <c r="H719" s="43"/>
      <c r="I719" s="43"/>
      <c r="J719" s="43"/>
      <c r="K719" s="43"/>
      <c r="L719" s="43"/>
      <c r="M719" s="43"/>
      <c r="N719" s="37"/>
      <c r="O719" s="38"/>
      <c r="P719" s="34"/>
      <c r="Q719" s="34"/>
      <c r="R719" s="76"/>
      <c r="S719" s="47"/>
      <c r="T719" s="42"/>
      <c r="U719" s="42"/>
      <c r="W719" s="96"/>
      <c r="X719" s="223"/>
      <c r="Y719" s="98"/>
      <c r="Z719" s="97"/>
      <c r="AA719" s="99"/>
    </row>
    <row r="720" spans="1:27" s="95" customFormat="1">
      <c r="A720" s="34"/>
      <c r="B720" s="76"/>
      <c r="C720" s="76"/>
      <c r="D720" s="187"/>
      <c r="E720" s="43"/>
      <c r="F720" s="43"/>
      <c r="G720" s="43"/>
      <c r="H720" s="43"/>
      <c r="I720" s="43"/>
      <c r="J720" s="43"/>
      <c r="K720" s="43"/>
      <c r="L720" s="43"/>
      <c r="M720" s="43"/>
      <c r="N720" s="37"/>
      <c r="O720" s="38"/>
      <c r="P720" s="34"/>
      <c r="Q720" s="34"/>
      <c r="R720" s="76"/>
      <c r="S720" s="47"/>
      <c r="T720" s="42"/>
      <c r="U720" s="42"/>
      <c r="W720" s="96"/>
      <c r="X720" s="223"/>
      <c r="Y720" s="98"/>
      <c r="Z720" s="97"/>
      <c r="AA720" s="99"/>
    </row>
    <row r="721" spans="1:27" s="95" customFormat="1">
      <c r="A721" s="34"/>
      <c r="B721" s="76"/>
      <c r="C721" s="76"/>
      <c r="D721" s="187"/>
      <c r="E721" s="43"/>
      <c r="F721" s="43"/>
      <c r="G721" s="43"/>
      <c r="H721" s="43"/>
      <c r="I721" s="43"/>
      <c r="J721" s="43"/>
      <c r="K721" s="43"/>
      <c r="L721" s="43"/>
      <c r="M721" s="43"/>
      <c r="N721" s="37"/>
      <c r="O721" s="38"/>
      <c r="P721" s="34"/>
      <c r="Q721" s="34"/>
      <c r="R721" s="76"/>
      <c r="S721" s="47"/>
      <c r="T721" s="42"/>
      <c r="U721" s="42"/>
      <c r="W721" s="96"/>
      <c r="X721" s="223"/>
      <c r="Y721" s="98"/>
      <c r="Z721" s="97"/>
      <c r="AA721" s="99"/>
    </row>
    <row r="722" spans="1:27" s="95" customFormat="1">
      <c r="A722" s="34"/>
      <c r="B722" s="76"/>
      <c r="C722" s="76"/>
      <c r="D722" s="187"/>
      <c r="E722" s="43"/>
      <c r="F722" s="43"/>
      <c r="G722" s="43"/>
      <c r="H722" s="43"/>
      <c r="I722" s="43"/>
      <c r="J722" s="43"/>
      <c r="K722" s="43"/>
      <c r="L722" s="43"/>
      <c r="M722" s="43"/>
      <c r="N722" s="37"/>
      <c r="O722" s="38"/>
      <c r="P722" s="34"/>
      <c r="Q722" s="34"/>
      <c r="R722" s="76"/>
      <c r="S722" s="47"/>
      <c r="T722" s="42"/>
      <c r="U722" s="42"/>
      <c r="W722" s="96"/>
      <c r="X722" s="223"/>
      <c r="Y722" s="98"/>
      <c r="Z722" s="97"/>
      <c r="AA722" s="99"/>
    </row>
    <row r="723" spans="1:27" s="95" customFormat="1">
      <c r="A723" s="34"/>
      <c r="B723" s="76"/>
      <c r="C723" s="76"/>
      <c r="D723" s="187"/>
      <c r="E723" s="43"/>
      <c r="F723" s="43"/>
      <c r="G723" s="43"/>
      <c r="H723" s="43"/>
      <c r="I723" s="43"/>
      <c r="J723" s="43"/>
      <c r="K723" s="43"/>
      <c r="L723" s="43"/>
      <c r="M723" s="43"/>
      <c r="N723" s="37"/>
      <c r="O723" s="38"/>
      <c r="P723" s="34"/>
      <c r="Q723" s="34"/>
      <c r="R723" s="76"/>
      <c r="S723" s="47"/>
      <c r="T723" s="42"/>
      <c r="U723" s="42"/>
      <c r="W723" s="96"/>
      <c r="X723" s="223"/>
      <c r="Y723" s="98"/>
      <c r="Z723" s="97"/>
      <c r="AA723" s="99"/>
    </row>
    <row r="724" spans="1:27" s="95" customFormat="1" ht="21.6" customHeight="1">
      <c r="A724" s="34"/>
      <c r="B724" s="76"/>
      <c r="C724" s="76"/>
      <c r="D724" s="187"/>
      <c r="E724" s="43"/>
      <c r="F724" s="43"/>
      <c r="G724" s="43"/>
      <c r="H724" s="43"/>
      <c r="I724" s="43"/>
      <c r="J724" s="43"/>
      <c r="K724" s="43"/>
      <c r="L724" s="43"/>
      <c r="M724" s="43"/>
      <c r="N724" s="37"/>
      <c r="O724" s="38"/>
      <c r="P724" s="34"/>
      <c r="Q724" s="34"/>
      <c r="R724" s="76"/>
      <c r="S724" s="47"/>
      <c r="T724" s="42"/>
      <c r="U724" s="42"/>
      <c r="W724" s="96"/>
      <c r="X724" s="223"/>
      <c r="Y724" s="98"/>
      <c r="Z724" s="97"/>
      <c r="AA724" s="99"/>
    </row>
    <row r="725" spans="1:27" s="95" customFormat="1" ht="31.9" customHeight="1">
      <c r="A725" s="34"/>
      <c r="B725" s="76"/>
      <c r="C725" s="76"/>
      <c r="D725" s="187"/>
      <c r="E725" s="43"/>
      <c r="F725" s="43"/>
      <c r="G725" s="43"/>
      <c r="H725" s="43"/>
      <c r="I725" s="43"/>
      <c r="J725" s="43"/>
      <c r="K725" s="43"/>
      <c r="L725" s="43"/>
      <c r="M725" s="43"/>
      <c r="N725" s="37"/>
      <c r="O725" s="38"/>
      <c r="P725" s="34"/>
      <c r="Q725" s="34"/>
      <c r="R725" s="76"/>
      <c r="S725" s="47"/>
      <c r="T725" s="42"/>
      <c r="U725" s="42"/>
      <c r="W725" s="96"/>
      <c r="X725" s="223"/>
      <c r="Y725" s="98"/>
      <c r="Z725" s="97"/>
      <c r="AA725" s="99"/>
    </row>
    <row r="726" spans="1:27" s="95" customFormat="1" ht="31.9" customHeight="1">
      <c r="A726" s="34"/>
      <c r="B726" s="76"/>
      <c r="C726" s="76"/>
      <c r="D726" s="187"/>
      <c r="E726" s="43"/>
      <c r="F726" s="43"/>
      <c r="G726" s="43"/>
      <c r="H726" s="43"/>
      <c r="I726" s="43"/>
      <c r="J726" s="43"/>
      <c r="K726" s="43"/>
      <c r="L726" s="43"/>
      <c r="M726" s="43"/>
      <c r="N726" s="37"/>
      <c r="O726" s="38"/>
      <c r="P726" s="34"/>
      <c r="Q726" s="34"/>
      <c r="R726" s="76"/>
      <c r="S726" s="47"/>
      <c r="T726" s="42"/>
      <c r="U726" s="42"/>
      <c r="W726" s="96"/>
      <c r="X726" s="223"/>
      <c r="Y726" s="98"/>
      <c r="Z726" s="97"/>
      <c r="AA726" s="99"/>
    </row>
    <row r="727" spans="1:27" s="95" customFormat="1" ht="31.9" customHeight="1">
      <c r="A727" s="34"/>
      <c r="B727" s="76"/>
      <c r="C727" s="76"/>
      <c r="D727" s="187"/>
      <c r="E727" s="43"/>
      <c r="F727" s="43"/>
      <c r="G727" s="43"/>
      <c r="H727" s="43"/>
      <c r="I727" s="43"/>
      <c r="J727" s="43"/>
      <c r="K727" s="43"/>
      <c r="L727" s="43"/>
      <c r="M727" s="43"/>
      <c r="N727" s="37"/>
      <c r="O727" s="38"/>
      <c r="P727" s="34"/>
      <c r="Q727" s="34"/>
      <c r="R727" s="76"/>
      <c r="S727" s="47"/>
      <c r="T727" s="42"/>
      <c r="U727" s="42"/>
      <c r="W727" s="96"/>
      <c r="X727" s="223"/>
      <c r="Y727" s="98"/>
      <c r="Z727" s="97"/>
      <c r="AA727" s="99"/>
    </row>
    <row r="728" spans="1:27" s="95" customFormat="1" ht="18" customHeight="1">
      <c r="A728" s="34"/>
      <c r="B728" s="76"/>
      <c r="C728" s="76"/>
      <c r="D728" s="187"/>
      <c r="E728" s="43"/>
      <c r="F728" s="43"/>
      <c r="G728" s="43"/>
      <c r="H728" s="43"/>
      <c r="I728" s="43"/>
      <c r="J728" s="43"/>
      <c r="K728" s="43"/>
      <c r="L728" s="43"/>
      <c r="M728" s="43"/>
      <c r="N728" s="37"/>
      <c r="O728" s="38"/>
      <c r="P728" s="34"/>
      <c r="Q728" s="34"/>
      <c r="R728" s="76"/>
      <c r="S728" s="47"/>
      <c r="T728" s="42"/>
      <c r="U728" s="42"/>
      <c r="W728" s="96"/>
      <c r="X728" s="223"/>
      <c r="Y728" s="98"/>
      <c r="Z728" s="97"/>
      <c r="AA728" s="99"/>
    </row>
    <row r="729" spans="1:27" s="95" customFormat="1" ht="18" customHeight="1">
      <c r="A729" s="34"/>
      <c r="B729" s="76"/>
      <c r="C729" s="76"/>
      <c r="D729" s="187"/>
      <c r="E729" s="43"/>
      <c r="F729" s="43"/>
      <c r="G729" s="43"/>
      <c r="H729" s="43"/>
      <c r="I729" s="43"/>
      <c r="J729" s="43"/>
      <c r="K729" s="43"/>
      <c r="L729" s="43"/>
      <c r="M729" s="43"/>
      <c r="N729" s="37"/>
      <c r="O729" s="38"/>
      <c r="P729" s="34"/>
      <c r="Q729" s="34"/>
      <c r="R729" s="76"/>
      <c r="S729" s="47"/>
      <c r="T729" s="42"/>
      <c r="U729" s="42"/>
      <c r="W729" s="96"/>
      <c r="X729" s="223"/>
      <c r="Y729" s="98"/>
      <c r="Z729" s="97"/>
      <c r="AA729" s="99"/>
    </row>
    <row r="730" spans="1:27" s="95" customFormat="1" ht="18.600000000000001" customHeight="1">
      <c r="A730" s="34"/>
      <c r="B730" s="76"/>
      <c r="C730" s="76"/>
      <c r="D730" s="187"/>
      <c r="E730" s="43"/>
      <c r="F730" s="43"/>
      <c r="G730" s="43"/>
      <c r="H730" s="43"/>
      <c r="I730" s="43"/>
      <c r="J730" s="43"/>
      <c r="K730" s="43"/>
      <c r="L730" s="43"/>
      <c r="M730" s="43"/>
      <c r="N730" s="37"/>
      <c r="O730" s="38"/>
      <c r="P730" s="34"/>
      <c r="Q730" s="34"/>
      <c r="R730" s="76"/>
      <c r="S730" s="47"/>
      <c r="T730" s="42"/>
      <c r="U730" s="42"/>
      <c r="W730" s="96"/>
      <c r="X730" s="223"/>
      <c r="Y730" s="98"/>
      <c r="Z730" s="97"/>
      <c r="AA730" s="99"/>
    </row>
    <row r="731" spans="1:27" s="95" customFormat="1">
      <c r="A731" s="34"/>
      <c r="B731" s="76"/>
      <c r="C731" s="76"/>
      <c r="D731" s="187"/>
      <c r="E731" s="43"/>
      <c r="F731" s="43"/>
      <c r="G731" s="43"/>
      <c r="H731" s="43"/>
      <c r="I731" s="43"/>
      <c r="J731" s="43"/>
      <c r="K731" s="43"/>
      <c r="L731" s="43"/>
      <c r="M731" s="43"/>
      <c r="N731" s="37"/>
      <c r="O731" s="38"/>
      <c r="P731" s="34"/>
      <c r="Q731" s="34"/>
      <c r="R731" s="76"/>
      <c r="S731" s="47"/>
      <c r="T731" s="42"/>
      <c r="U731" s="42"/>
      <c r="W731" s="96"/>
      <c r="X731" s="223"/>
      <c r="Y731" s="98"/>
      <c r="Z731" s="97"/>
      <c r="AA731" s="99"/>
    </row>
    <row r="732" spans="1:27" s="95" customFormat="1">
      <c r="A732" s="34"/>
      <c r="B732" s="76"/>
      <c r="C732" s="76"/>
      <c r="D732" s="187"/>
      <c r="E732" s="43"/>
      <c r="F732" s="43"/>
      <c r="G732" s="43"/>
      <c r="H732" s="43"/>
      <c r="I732" s="43"/>
      <c r="J732" s="43"/>
      <c r="K732" s="43"/>
      <c r="L732" s="43"/>
      <c r="M732" s="43"/>
      <c r="N732" s="37"/>
      <c r="O732" s="38"/>
      <c r="P732" s="34"/>
      <c r="Q732" s="39"/>
      <c r="R732" s="84"/>
      <c r="S732" s="47"/>
      <c r="T732" s="42"/>
      <c r="U732" s="42"/>
      <c r="W732" s="96"/>
      <c r="X732" s="223"/>
      <c r="Y732" s="98"/>
      <c r="Z732" s="97"/>
      <c r="AA732" s="99"/>
    </row>
    <row r="733" spans="1:27" s="95" customFormat="1">
      <c r="A733" s="34"/>
      <c r="B733" s="76"/>
      <c r="C733" s="76"/>
      <c r="D733" s="187"/>
      <c r="E733" s="43"/>
      <c r="F733" s="43"/>
      <c r="G733" s="43"/>
      <c r="H733" s="43"/>
      <c r="I733" s="43"/>
      <c r="J733" s="43"/>
      <c r="K733" s="43"/>
      <c r="L733" s="43"/>
      <c r="M733" s="43"/>
      <c r="N733" s="37"/>
      <c r="O733" s="38"/>
      <c r="P733" s="34"/>
      <c r="Q733" s="39"/>
      <c r="R733" s="84"/>
      <c r="S733" s="47"/>
      <c r="T733" s="42"/>
      <c r="U733" s="42"/>
      <c r="W733" s="96"/>
      <c r="X733" s="223"/>
      <c r="Y733" s="98"/>
      <c r="Z733" s="97"/>
      <c r="AA733" s="99"/>
    </row>
    <row r="734" spans="1:27" s="95" customFormat="1">
      <c r="A734" s="34"/>
      <c r="B734" s="76"/>
      <c r="C734" s="76"/>
      <c r="D734" s="187"/>
      <c r="E734" s="43"/>
      <c r="F734" s="43"/>
      <c r="G734" s="43"/>
      <c r="H734" s="43"/>
      <c r="I734" s="43"/>
      <c r="J734" s="43"/>
      <c r="K734" s="43"/>
      <c r="L734" s="43"/>
      <c r="M734" s="43"/>
      <c r="N734" s="37"/>
      <c r="O734" s="38"/>
      <c r="P734" s="34"/>
      <c r="Q734" s="39"/>
      <c r="R734" s="84"/>
      <c r="S734" s="47"/>
      <c r="T734" s="42"/>
      <c r="U734" s="42"/>
      <c r="W734" s="96"/>
      <c r="X734" s="223"/>
      <c r="Y734" s="98"/>
      <c r="Z734" s="97"/>
      <c r="AA734" s="99"/>
    </row>
    <row r="735" spans="1:27" s="95" customFormat="1">
      <c r="A735" s="34"/>
      <c r="B735" s="76"/>
      <c r="C735" s="76"/>
      <c r="D735" s="187"/>
      <c r="E735" s="43"/>
      <c r="F735" s="43"/>
      <c r="G735" s="43"/>
      <c r="H735" s="43"/>
      <c r="I735" s="43"/>
      <c r="J735" s="43"/>
      <c r="K735" s="43"/>
      <c r="L735" s="43"/>
      <c r="M735" s="43"/>
      <c r="N735" s="37"/>
      <c r="O735" s="38"/>
      <c r="P735" s="34"/>
      <c r="Q735" s="39"/>
      <c r="R735" s="84"/>
      <c r="S735" s="47"/>
      <c r="T735" s="42"/>
      <c r="U735" s="42"/>
      <c r="W735" s="96"/>
      <c r="X735" s="223"/>
      <c r="Y735" s="98"/>
      <c r="Z735" s="97"/>
      <c r="AA735" s="99"/>
    </row>
    <row r="736" spans="1:27" s="95" customFormat="1">
      <c r="A736" s="34"/>
      <c r="B736" s="76"/>
      <c r="C736" s="76"/>
      <c r="D736" s="187"/>
      <c r="E736" s="43"/>
      <c r="F736" s="43"/>
      <c r="G736" s="43"/>
      <c r="H736" s="43"/>
      <c r="I736" s="43"/>
      <c r="J736" s="43"/>
      <c r="K736" s="43"/>
      <c r="L736" s="43"/>
      <c r="M736" s="43"/>
      <c r="N736" s="37"/>
      <c r="O736" s="38"/>
      <c r="P736" s="34"/>
      <c r="Q736" s="39"/>
      <c r="R736" s="84"/>
      <c r="S736" s="47"/>
      <c r="T736" s="42"/>
      <c r="U736" s="42"/>
      <c r="W736" s="96"/>
      <c r="X736" s="223"/>
      <c r="Y736" s="98"/>
      <c r="Z736" s="97"/>
      <c r="AA736" s="99"/>
    </row>
    <row r="737" spans="1:27" s="95" customFormat="1">
      <c r="A737" s="34"/>
      <c r="B737" s="76"/>
      <c r="C737" s="76"/>
      <c r="D737" s="187"/>
      <c r="E737" s="43"/>
      <c r="F737" s="43"/>
      <c r="G737" s="43"/>
      <c r="H737" s="43"/>
      <c r="I737" s="43"/>
      <c r="J737" s="43"/>
      <c r="K737" s="43"/>
      <c r="L737" s="43"/>
      <c r="M737" s="43"/>
      <c r="N737" s="37"/>
      <c r="O737" s="38"/>
      <c r="P737" s="34"/>
      <c r="Q737" s="39"/>
      <c r="R737" s="84"/>
      <c r="S737" s="47"/>
      <c r="T737" s="42"/>
      <c r="U737" s="42"/>
      <c r="W737" s="96"/>
      <c r="X737" s="223"/>
      <c r="Y737" s="98"/>
      <c r="Z737" s="97"/>
      <c r="AA737" s="99"/>
    </row>
    <row r="738" spans="1:27" s="95" customFormat="1">
      <c r="A738" s="34"/>
      <c r="B738" s="76"/>
      <c r="C738" s="76"/>
      <c r="D738" s="187"/>
      <c r="E738" s="43"/>
      <c r="F738" s="43"/>
      <c r="G738" s="43"/>
      <c r="H738" s="43"/>
      <c r="I738" s="43"/>
      <c r="J738" s="43"/>
      <c r="K738" s="43"/>
      <c r="L738" s="43"/>
      <c r="M738" s="43"/>
      <c r="N738" s="37"/>
      <c r="O738" s="38"/>
      <c r="P738" s="34"/>
      <c r="Q738" s="39"/>
      <c r="R738" s="84"/>
      <c r="S738" s="47"/>
      <c r="T738" s="42"/>
      <c r="U738" s="42"/>
      <c r="W738" s="96"/>
      <c r="X738" s="223"/>
      <c r="Y738" s="98"/>
      <c r="Z738" s="97"/>
      <c r="AA738" s="99"/>
    </row>
    <row r="739" spans="1:27" s="95" customFormat="1">
      <c r="A739" s="34"/>
      <c r="B739" s="76"/>
      <c r="C739" s="76"/>
      <c r="D739" s="187"/>
      <c r="E739" s="43"/>
      <c r="F739" s="43"/>
      <c r="G739" s="43"/>
      <c r="H739" s="43"/>
      <c r="I739" s="43"/>
      <c r="J739" s="43"/>
      <c r="K739" s="43"/>
      <c r="L739" s="43"/>
      <c r="M739" s="43"/>
      <c r="N739" s="37"/>
      <c r="O739" s="38"/>
      <c r="P739" s="34"/>
      <c r="Q739" s="39"/>
      <c r="R739" s="84"/>
      <c r="S739" s="47"/>
      <c r="T739" s="42"/>
      <c r="U739" s="42"/>
      <c r="W739" s="96"/>
      <c r="X739" s="223"/>
      <c r="Y739" s="98"/>
      <c r="Z739" s="97"/>
      <c r="AA739" s="99"/>
    </row>
    <row r="740" spans="1:27" s="95" customFormat="1">
      <c r="A740" s="34"/>
      <c r="B740" s="76"/>
      <c r="C740" s="76"/>
      <c r="D740" s="187"/>
      <c r="E740" s="43"/>
      <c r="F740" s="43"/>
      <c r="G740" s="43"/>
      <c r="H740" s="43"/>
      <c r="I740" s="43"/>
      <c r="J740" s="43"/>
      <c r="K740" s="43"/>
      <c r="L740" s="43"/>
      <c r="M740" s="43"/>
      <c r="N740" s="37"/>
      <c r="O740" s="38"/>
      <c r="P740" s="34"/>
      <c r="Q740" s="39"/>
      <c r="R740" s="84"/>
      <c r="S740" s="47"/>
      <c r="T740" s="42"/>
      <c r="U740" s="42"/>
      <c r="W740" s="96"/>
      <c r="X740" s="223"/>
      <c r="Y740" s="98"/>
      <c r="Z740" s="97"/>
      <c r="AA740" s="99"/>
    </row>
    <row r="741" spans="1:27" s="95" customFormat="1">
      <c r="A741" s="34"/>
      <c r="B741" s="76"/>
      <c r="C741" s="76"/>
      <c r="D741" s="187"/>
      <c r="E741" s="43"/>
      <c r="F741" s="43"/>
      <c r="G741" s="43"/>
      <c r="H741" s="43"/>
      <c r="I741" s="43"/>
      <c r="J741" s="43"/>
      <c r="K741" s="43"/>
      <c r="L741" s="43"/>
      <c r="M741" s="43"/>
      <c r="N741" s="37"/>
      <c r="O741" s="38"/>
      <c r="P741" s="34"/>
      <c r="Q741" s="39"/>
      <c r="R741" s="84"/>
      <c r="S741" s="47"/>
      <c r="T741" s="42"/>
      <c r="U741" s="42"/>
      <c r="W741" s="96"/>
      <c r="X741" s="223"/>
      <c r="Y741" s="98"/>
      <c r="Z741" s="97"/>
      <c r="AA741" s="99"/>
    </row>
    <row r="742" spans="1:27" s="95" customFormat="1">
      <c r="A742" s="34"/>
      <c r="B742" s="76"/>
      <c r="C742" s="76"/>
      <c r="D742" s="187"/>
      <c r="E742" s="43"/>
      <c r="F742" s="43"/>
      <c r="G742" s="43"/>
      <c r="H742" s="43"/>
      <c r="I742" s="43"/>
      <c r="J742" s="43"/>
      <c r="K742" s="43"/>
      <c r="L742" s="43"/>
      <c r="M742" s="43"/>
      <c r="N742" s="37"/>
      <c r="O742" s="38"/>
      <c r="P742" s="34"/>
      <c r="Q742" s="39"/>
      <c r="R742" s="84"/>
      <c r="S742" s="47"/>
      <c r="T742" s="42"/>
      <c r="U742" s="42"/>
      <c r="W742" s="96"/>
      <c r="X742" s="223"/>
      <c r="Y742" s="98"/>
      <c r="Z742" s="97"/>
      <c r="AA742" s="99"/>
    </row>
    <row r="743" spans="1:27" s="95" customFormat="1">
      <c r="A743" s="34"/>
      <c r="B743" s="76"/>
      <c r="C743" s="76"/>
      <c r="D743" s="187"/>
      <c r="E743" s="43"/>
      <c r="F743" s="43"/>
      <c r="G743" s="43"/>
      <c r="H743" s="43"/>
      <c r="I743" s="43"/>
      <c r="J743" s="43"/>
      <c r="K743" s="43"/>
      <c r="L743" s="43"/>
      <c r="M743" s="43"/>
      <c r="N743" s="37"/>
      <c r="O743" s="38"/>
      <c r="P743" s="34"/>
      <c r="Q743" s="39"/>
      <c r="R743" s="84"/>
      <c r="S743" s="47"/>
      <c r="T743" s="42"/>
      <c r="U743" s="42"/>
      <c r="W743" s="96"/>
      <c r="X743" s="223"/>
      <c r="Y743" s="98"/>
      <c r="Z743" s="97"/>
      <c r="AA743" s="99"/>
    </row>
    <row r="744" spans="1:27" s="95" customFormat="1">
      <c r="A744" s="34"/>
      <c r="B744" s="76"/>
      <c r="C744" s="76"/>
      <c r="D744" s="187"/>
      <c r="E744" s="43"/>
      <c r="F744" s="43"/>
      <c r="G744" s="43"/>
      <c r="H744" s="43"/>
      <c r="I744" s="43"/>
      <c r="J744" s="43"/>
      <c r="K744" s="43"/>
      <c r="L744" s="43"/>
      <c r="M744" s="43"/>
      <c r="N744" s="37"/>
      <c r="O744" s="38"/>
      <c r="P744" s="34"/>
      <c r="Q744" s="39"/>
      <c r="R744" s="84"/>
      <c r="S744" s="47"/>
      <c r="T744" s="42"/>
      <c r="U744" s="42"/>
      <c r="W744" s="96"/>
      <c r="X744" s="223"/>
      <c r="Y744" s="98"/>
      <c r="Z744" s="97"/>
      <c r="AA744" s="99"/>
    </row>
    <row r="745" spans="1:27" s="95" customFormat="1">
      <c r="A745" s="34"/>
      <c r="B745" s="76"/>
      <c r="C745" s="76"/>
      <c r="D745" s="187"/>
      <c r="E745" s="43"/>
      <c r="F745" s="43"/>
      <c r="G745" s="43"/>
      <c r="H745" s="43"/>
      <c r="I745" s="43"/>
      <c r="J745" s="43"/>
      <c r="K745" s="43"/>
      <c r="L745" s="43"/>
      <c r="M745" s="43"/>
      <c r="N745" s="37"/>
      <c r="O745" s="38"/>
      <c r="P745" s="34"/>
      <c r="Q745" s="39"/>
      <c r="R745" s="84"/>
      <c r="S745" s="47"/>
      <c r="T745" s="42"/>
      <c r="U745" s="42"/>
      <c r="W745" s="96"/>
      <c r="X745" s="223"/>
      <c r="Y745" s="98"/>
      <c r="Z745" s="97"/>
      <c r="AA745" s="99"/>
    </row>
    <row r="746" spans="1:27" s="95" customFormat="1">
      <c r="A746" s="34"/>
      <c r="B746" s="76"/>
      <c r="C746" s="76"/>
      <c r="D746" s="187"/>
      <c r="E746" s="43"/>
      <c r="F746" s="43"/>
      <c r="G746" s="43"/>
      <c r="H746" s="43"/>
      <c r="I746" s="43"/>
      <c r="J746" s="43"/>
      <c r="K746" s="43"/>
      <c r="L746" s="43"/>
      <c r="M746" s="43"/>
      <c r="N746" s="37"/>
      <c r="O746" s="38"/>
      <c r="P746" s="34"/>
      <c r="Q746" s="39"/>
      <c r="R746" s="84"/>
      <c r="S746" s="47"/>
      <c r="T746" s="42"/>
      <c r="U746" s="42"/>
      <c r="W746" s="96"/>
      <c r="X746" s="223"/>
      <c r="Y746" s="98"/>
      <c r="Z746" s="97"/>
      <c r="AA746" s="99"/>
    </row>
    <row r="747" spans="1:27" s="95" customFormat="1">
      <c r="A747" s="34"/>
      <c r="B747" s="76"/>
      <c r="C747" s="76"/>
      <c r="D747" s="187"/>
      <c r="E747" s="43"/>
      <c r="F747" s="43"/>
      <c r="G747" s="43"/>
      <c r="H747" s="43"/>
      <c r="I747" s="43"/>
      <c r="J747" s="43"/>
      <c r="K747" s="43"/>
      <c r="L747" s="43"/>
      <c r="M747" s="43"/>
      <c r="N747" s="37"/>
      <c r="O747" s="38"/>
      <c r="P747" s="34"/>
      <c r="Q747" s="39"/>
      <c r="R747" s="84"/>
      <c r="S747" s="47"/>
      <c r="T747" s="42"/>
      <c r="U747" s="42"/>
      <c r="W747" s="96"/>
      <c r="X747" s="223"/>
      <c r="Y747" s="98"/>
      <c r="Z747" s="97"/>
      <c r="AA747" s="99"/>
    </row>
    <row r="748" spans="1:27" s="95" customFormat="1">
      <c r="A748" s="34"/>
      <c r="B748" s="76"/>
      <c r="C748" s="76"/>
      <c r="D748" s="187"/>
      <c r="E748" s="43"/>
      <c r="F748" s="43"/>
      <c r="G748" s="43"/>
      <c r="H748" s="43"/>
      <c r="I748" s="43"/>
      <c r="J748" s="43"/>
      <c r="K748" s="43"/>
      <c r="L748" s="43"/>
      <c r="M748" s="43"/>
      <c r="N748" s="37"/>
      <c r="O748" s="38"/>
      <c r="P748" s="34"/>
      <c r="Q748" s="39"/>
      <c r="R748" s="84"/>
      <c r="S748" s="47"/>
      <c r="T748" s="42"/>
      <c r="U748" s="42"/>
      <c r="W748" s="96"/>
      <c r="X748" s="223"/>
      <c r="Y748" s="98"/>
      <c r="Z748" s="97"/>
      <c r="AA748" s="99"/>
    </row>
    <row r="749" spans="1:27" s="95" customFormat="1">
      <c r="A749" s="34"/>
      <c r="B749" s="76"/>
      <c r="C749" s="76"/>
      <c r="D749" s="187"/>
      <c r="E749" s="43"/>
      <c r="F749" s="43"/>
      <c r="G749" s="43"/>
      <c r="H749" s="43"/>
      <c r="I749" s="43"/>
      <c r="J749" s="43"/>
      <c r="K749" s="43"/>
      <c r="L749" s="43"/>
      <c r="M749" s="43"/>
      <c r="N749" s="37"/>
      <c r="O749" s="38"/>
      <c r="P749" s="34"/>
      <c r="Q749" s="34"/>
      <c r="R749" s="76"/>
      <c r="S749" s="47"/>
      <c r="T749" s="42"/>
      <c r="U749" s="42"/>
      <c r="W749" s="96"/>
      <c r="X749" s="223"/>
      <c r="Y749" s="98"/>
      <c r="Z749" s="97"/>
      <c r="AA749" s="99"/>
    </row>
    <row r="750" spans="1:27" s="95" customFormat="1">
      <c r="A750" s="34"/>
      <c r="B750" s="76"/>
      <c r="C750" s="76"/>
      <c r="D750" s="187"/>
      <c r="E750" s="43"/>
      <c r="F750" s="43"/>
      <c r="G750" s="43"/>
      <c r="H750" s="43"/>
      <c r="I750" s="43"/>
      <c r="J750" s="43"/>
      <c r="K750" s="43"/>
      <c r="L750" s="43"/>
      <c r="M750" s="43"/>
      <c r="N750" s="37"/>
      <c r="O750" s="38"/>
      <c r="P750" s="34"/>
      <c r="Q750" s="34"/>
      <c r="R750" s="76"/>
      <c r="S750" s="47"/>
      <c r="T750" s="42"/>
      <c r="U750" s="42"/>
      <c r="W750" s="96"/>
      <c r="X750" s="223"/>
      <c r="Y750" s="98"/>
      <c r="Z750" s="97"/>
      <c r="AA750" s="99"/>
    </row>
    <row r="751" spans="1:27" s="95" customFormat="1">
      <c r="A751" s="34"/>
      <c r="B751" s="76"/>
      <c r="C751" s="76"/>
      <c r="D751" s="187"/>
      <c r="E751" s="43"/>
      <c r="F751" s="43"/>
      <c r="G751" s="43"/>
      <c r="H751" s="43"/>
      <c r="I751" s="43"/>
      <c r="J751" s="43"/>
      <c r="K751" s="43"/>
      <c r="L751" s="43"/>
      <c r="M751" s="43"/>
      <c r="N751" s="37"/>
      <c r="O751" s="38"/>
      <c r="P751" s="34"/>
      <c r="Q751" s="34"/>
      <c r="R751" s="76"/>
      <c r="S751" s="47"/>
      <c r="T751" s="42"/>
      <c r="U751" s="42"/>
      <c r="W751" s="96"/>
      <c r="X751" s="223"/>
      <c r="Y751" s="98"/>
      <c r="Z751" s="97"/>
      <c r="AA751" s="99"/>
    </row>
    <row r="752" spans="1:27" s="95" customFormat="1">
      <c r="A752" s="34"/>
      <c r="B752" s="76"/>
      <c r="C752" s="76"/>
      <c r="D752" s="187"/>
      <c r="E752" s="43"/>
      <c r="F752" s="43"/>
      <c r="G752" s="43"/>
      <c r="H752" s="43"/>
      <c r="I752" s="43"/>
      <c r="J752" s="43"/>
      <c r="K752" s="43"/>
      <c r="L752" s="43"/>
      <c r="M752" s="43"/>
      <c r="N752" s="37"/>
      <c r="O752" s="38"/>
      <c r="P752" s="34"/>
      <c r="Q752" s="34"/>
      <c r="R752" s="76"/>
      <c r="S752" s="47"/>
      <c r="T752" s="42"/>
      <c r="U752" s="42"/>
      <c r="W752" s="96"/>
      <c r="X752" s="223"/>
      <c r="Y752" s="98"/>
      <c r="Z752" s="97"/>
      <c r="AA752" s="99"/>
    </row>
    <row r="753" spans="1:27" s="95" customFormat="1">
      <c r="A753" s="34"/>
      <c r="B753" s="76"/>
      <c r="C753" s="76"/>
      <c r="D753" s="187"/>
      <c r="E753" s="43"/>
      <c r="F753" s="43"/>
      <c r="G753" s="43"/>
      <c r="H753" s="43"/>
      <c r="I753" s="43"/>
      <c r="J753" s="43"/>
      <c r="K753" s="43"/>
      <c r="L753" s="43"/>
      <c r="M753" s="43"/>
      <c r="N753" s="37"/>
      <c r="O753" s="38"/>
      <c r="P753" s="34"/>
      <c r="Q753" s="34"/>
      <c r="R753" s="76"/>
      <c r="S753" s="47"/>
      <c r="T753" s="42"/>
      <c r="U753" s="42"/>
      <c r="W753" s="96"/>
      <c r="X753" s="223"/>
      <c r="Y753" s="98"/>
      <c r="Z753" s="97"/>
      <c r="AA753" s="99"/>
    </row>
    <row r="754" spans="1:27" s="95" customFormat="1">
      <c r="A754" s="34"/>
      <c r="B754" s="76"/>
      <c r="C754" s="76"/>
      <c r="D754" s="187"/>
      <c r="E754" s="43"/>
      <c r="F754" s="43"/>
      <c r="G754" s="43"/>
      <c r="H754" s="43"/>
      <c r="I754" s="43"/>
      <c r="J754" s="43"/>
      <c r="K754" s="43"/>
      <c r="L754" s="43"/>
      <c r="M754" s="43"/>
      <c r="N754" s="37"/>
      <c r="O754" s="38"/>
      <c r="P754" s="34"/>
      <c r="Q754" s="34"/>
      <c r="R754" s="76"/>
      <c r="S754" s="47"/>
      <c r="T754" s="42"/>
      <c r="U754" s="42"/>
      <c r="W754" s="96"/>
      <c r="X754" s="223"/>
      <c r="Y754" s="98"/>
      <c r="Z754" s="97"/>
      <c r="AA754" s="99"/>
    </row>
    <row r="755" spans="1:27" s="95" customFormat="1">
      <c r="A755" s="34"/>
      <c r="B755" s="76"/>
      <c r="C755" s="76"/>
      <c r="D755" s="187"/>
      <c r="E755" s="43"/>
      <c r="F755" s="43"/>
      <c r="G755" s="43"/>
      <c r="H755" s="43"/>
      <c r="I755" s="43"/>
      <c r="J755" s="43"/>
      <c r="K755" s="43"/>
      <c r="L755" s="43"/>
      <c r="M755" s="43"/>
      <c r="N755" s="37"/>
      <c r="O755" s="38"/>
      <c r="P755" s="34"/>
      <c r="Q755" s="34"/>
      <c r="R755" s="76"/>
      <c r="S755" s="47"/>
      <c r="T755" s="42"/>
      <c r="U755" s="42"/>
      <c r="W755" s="96"/>
      <c r="X755" s="223"/>
      <c r="Y755" s="98"/>
      <c r="Z755" s="97"/>
      <c r="AA755" s="99"/>
    </row>
    <row r="756" spans="1:27" s="95" customFormat="1">
      <c r="A756" s="34"/>
      <c r="B756" s="76"/>
      <c r="C756" s="76"/>
      <c r="D756" s="187"/>
      <c r="E756" s="43"/>
      <c r="F756" s="43"/>
      <c r="G756" s="43"/>
      <c r="H756" s="43"/>
      <c r="I756" s="43"/>
      <c r="J756" s="43"/>
      <c r="K756" s="43"/>
      <c r="L756" s="43"/>
      <c r="M756" s="43"/>
      <c r="N756" s="37"/>
      <c r="O756" s="38"/>
      <c r="P756" s="34"/>
      <c r="Q756" s="34"/>
      <c r="R756" s="76"/>
      <c r="S756" s="47"/>
      <c r="T756" s="42"/>
      <c r="U756" s="42"/>
      <c r="W756" s="96"/>
      <c r="X756" s="223"/>
      <c r="Y756" s="98"/>
      <c r="Z756" s="97"/>
      <c r="AA756" s="99"/>
    </row>
    <row r="757" spans="1:27" s="95" customFormat="1">
      <c r="A757" s="34"/>
      <c r="B757" s="76"/>
      <c r="C757" s="76"/>
      <c r="D757" s="187"/>
      <c r="E757" s="43"/>
      <c r="F757" s="43"/>
      <c r="G757" s="43"/>
      <c r="H757" s="43"/>
      <c r="I757" s="43"/>
      <c r="J757" s="43"/>
      <c r="K757" s="43"/>
      <c r="L757" s="43"/>
      <c r="M757" s="43"/>
      <c r="N757" s="37"/>
      <c r="O757" s="38"/>
      <c r="P757" s="34"/>
      <c r="Q757" s="34"/>
      <c r="R757" s="76"/>
      <c r="S757" s="47"/>
      <c r="T757" s="42"/>
      <c r="U757" s="42"/>
      <c r="W757" s="96"/>
      <c r="X757" s="223"/>
      <c r="Y757" s="98"/>
      <c r="Z757" s="97"/>
      <c r="AA757" s="99"/>
    </row>
    <row r="758" spans="1:27" s="95" customFormat="1">
      <c r="A758" s="34"/>
      <c r="B758" s="76"/>
      <c r="C758" s="76"/>
      <c r="D758" s="187"/>
      <c r="E758" s="43"/>
      <c r="F758" s="43"/>
      <c r="G758" s="43"/>
      <c r="H758" s="43"/>
      <c r="I758" s="43"/>
      <c r="J758" s="43"/>
      <c r="K758" s="43"/>
      <c r="L758" s="43"/>
      <c r="M758" s="43"/>
      <c r="N758" s="37"/>
      <c r="O758" s="38"/>
      <c r="P758" s="34"/>
      <c r="Q758" s="34"/>
      <c r="R758" s="76"/>
      <c r="S758" s="47"/>
      <c r="T758" s="42"/>
      <c r="U758" s="42"/>
      <c r="W758" s="96"/>
      <c r="X758" s="223"/>
      <c r="Y758" s="98"/>
      <c r="Z758" s="97"/>
      <c r="AA758" s="99"/>
    </row>
    <row r="759" spans="1:27" s="95" customFormat="1">
      <c r="A759" s="34"/>
      <c r="B759" s="76"/>
      <c r="C759" s="76"/>
      <c r="D759" s="187"/>
      <c r="E759" s="43"/>
      <c r="F759" s="43"/>
      <c r="G759" s="43"/>
      <c r="H759" s="43"/>
      <c r="I759" s="43"/>
      <c r="J759" s="43"/>
      <c r="K759" s="43"/>
      <c r="L759" s="43"/>
      <c r="M759" s="43"/>
      <c r="N759" s="37"/>
      <c r="O759" s="38"/>
      <c r="P759" s="34"/>
      <c r="Q759" s="34"/>
      <c r="R759" s="76"/>
      <c r="S759" s="47"/>
      <c r="T759" s="42"/>
      <c r="U759" s="42"/>
      <c r="W759" s="96"/>
      <c r="X759" s="223"/>
      <c r="Y759" s="98"/>
      <c r="Z759" s="97"/>
      <c r="AA759" s="99"/>
    </row>
    <row r="760" spans="1:27" s="95" customFormat="1">
      <c r="A760" s="34"/>
      <c r="B760" s="76"/>
      <c r="C760" s="76"/>
      <c r="D760" s="187"/>
      <c r="E760" s="43"/>
      <c r="F760" s="43"/>
      <c r="G760" s="43"/>
      <c r="H760" s="43"/>
      <c r="I760" s="43"/>
      <c r="J760" s="43"/>
      <c r="K760" s="43"/>
      <c r="L760" s="43"/>
      <c r="M760" s="43"/>
      <c r="N760" s="37"/>
      <c r="O760" s="38"/>
      <c r="P760" s="34"/>
      <c r="Q760" s="34"/>
      <c r="R760" s="76"/>
      <c r="S760" s="47"/>
      <c r="T760" s="42"/>
      <c r="U760" s="42"/>
      <c r="W760" s="96"/>
      <c r="X760" s="223"/>
      <c r="Y760" s="98"/>
      <c r="Z760" s="97"/>
      <c r="AA760" s="99"/>
    </row>
    <row r="761" spans="1:27" s="95" customFormat="1">
      <c r="A761" s="34"/>
      <c r="B761" s="76"/>
      <c r="C761" s="76"/>
      <c r="D761" s="187"/>
      <c r="E761" s="43"/>
      <c r="F761" s="43"/>
      <c r="G761" s="43"/>
      <c r="H761" s="43"/>
      <c r="I761" s="43"/>
      <c r="J761" s="43"/>
      <c r="K761" s="43"/>
      <c r="L761" s="43"/>
      <c r="M761" s="43"/>
      <c r="N761" s="37"/>
      <c r="O761" s="38"/>
      <c r="P761" s="34"/>
      <c r="Q761" s="34"/>
      <c r="R761" s="76"/>
      <c r="S761" s="47"/>
      <c r="T761" s="42"/>
      <c r="U761" s="42"/>
      <c r="W761" s="96"/>
      <c r="X761" s="223"/>
      <c r="Y761" s="98"/>
      <c r="Z761" s="97"/>
      <c r="AA761" s="99"/>
    </row>
    <row r="762" spans="1:27" s="95" customFormat="1">
      <c r="A762" s="34"/>
      <c r="B762" s="76"/>
      <c r="C762" s="76"/>
      <c r="D762" s="187"/>
      <c r="E762" s="43"/>
      <c r="F762" s="43"/>
      <c r="G762" s="43"/>
      <c r="H762" s="43"/>
      <c r="I762" s="43"/>
      <c r="J762" s="43"/>
      <c r="K762" s="43"/>
      <c r="L762" s="43"/>
      <c r="M762" s="43"/>
      <c r="N762" s="37"/>
      <c r="O762" s="38"/>
      <c r="P762" s="34"/>
      <c r="Q762" s="34"/>
      <c r="R762" s="76"/>
      <c r="S762" s="47"/>
      <c r="T762" s="42"/>
      <c r="U762" s="42"/>
      <c r="W762" s="96"/>
      <c r="X762" s="223"/>
      <c r="Y762" s="98"/>
      <c r="Z762" s="97"/>
      <c r="AA762" s="99"/>
    </row>
    <row r="763" spans="1:27" s="95" customFormat="1">
      <c r="A763" s="34"/>
      <c r="B763" s="76"/>
      <c r="C763" s="76"/>
      <c r="D763" s="187"/>
      <c r="E763" s="43"/>
      <c r="F763" s="43"/>
      <c r="G763" s="43"/>
      <c r="H763" s="43"/>
      <c r="I763" s="43"/>
      <c r="J763" s="43"/>
      <c r="K763" s="43"/>
      <c r="L763" s="43"/>
      <c r="M763" s="43"/>
      <c r="N763" s="37"/>
      <c r="O763" s="38"/>
      <c r="P763" s="34"/>
      <c r="Q763" s="34"/>
      <c r="R763" s="76"/>
      <c r="S763" s="47"/>
      <c r="T763" s="42"/>
      <c r="U763" s="42"/>
      <c r="W763" s="96"/>
      <c r="X763" s="223"/>
      <c r="Y763" s="98"/>
      <c r="Z763" s="97"/>
      <c r="AA763" s="99"/>
    </row>
    <row r="764" spans="1:27" s="95" customFormat="1">
      <c r="A764" s="34"/>
      <c r="B764" s="76"/>
      <c r="C764" s="76"/>
      <c r="D764" s="187"/>
      <c r="E764" s="43"/>
      <c r="F764" s="43"/>
      <c r="G764" s="43"/>
      <c r="H764" s="43"/>
      <c r="I764" s="43"/>
      <c r="J764" s="43"/>
      <c r="K764" s="43"/>
      <c r="L764" s="43"/>
      <c r="M764" s="43"/>
      <c r="N764" s="37"/>
      <c r="O764" s="38"/>
      <c r="P764" s="34"/>
      <c r="Q764" s="34"/>
      <c r="R764" s="76"/>
      <c r="S764" s="47"/>
      <c r="T764" s="42"/>
      <c r="U764" s="42"/>
      <c r="W764" s="96"/>
      <c r="X764" s="223"/>
      <c r="Y764" s="98"/>
      <c r="Z764" s="97"/>
      <c r="AA764" s="99"/>
    </row>
    <row r="765" spans="1:27" s="95" customFormat="1">
      <c r="A765" s="34"/>
      <c r="B765" s="76"/>
      <c r="C765" s="76"/>
      <c r="D765" s="187"/>
      <c r="E765" s="43"/>
      <c r="F765" s="43"/>
      <c r="G765" s="43"/>
      <c r="H765" s="43"/>
      <c r="I765" s="43"/>
      <c r="J765" s="43"/>
      <c r="K765" s="43"/>
      <c r="L765" s="43"/>
      <c r="M765" s="43"/>
      <c r="N765" s="37"/>
      <c r="O765" s="38"/>
      <c r="P765" s="34"/>
      <c r="Q765" s="34"/>
      <c r="R765" s="76"/>
      <c r="S765" s="47"/>
      <c r="T765" s="42"/>
      <c r="U765" s="42"/>
      <c r="W765" s="96"/>
      <c r="X765" s="223"/>
      <c r="Y765" s="98"/>
      <c r="Z765" s="97"/>
      <c r="AA765" s="99"/>
    </row>
    <row r="766" spans="1:27" s="95" customFormat="1">
      <c r="A766" s="34"/>
      <c r="B766" s="76"/>
      <c r="C766" s="76"/>
      <c r="D766" s="187"/>
      <c r="E766" s="43"/>
      <c r="F766" s="43"/>
      <c r="G766" s="43"/>
      <c r="H766" s="43"/>
      <c r="I766" s="43"/>
      <c r="J766" s="43"/>
      <c r="K766" s="43"/>
      <c r="L766" s="43"/>
      <c r="M766" s="43"/>
      <c r="N766" s="37"/>
      <c r="O766" s="38"/>
      <c r="P766" s="34"/>
      <c r="Q766" s="34"/>
      <c r="R766" s="76"/>
      <c r="S766" s="47"/>
      <c r="T766" s="42"/>
      <c r="U766" s="42"/>
      <c r="W766" s="96"/>
      <c r="X766" s="223"/>
      <c r="Y766" s="98"/>
      <c r="Z766" s="97"/>
      <c r="AA766" s="99"/>
    </row>
    <row r="767" spans="1:27" s="95" customFormat="1">
      <c r="A767" s="34"/>
      <c r="B767" s="76"/>
      <c r="C767" s="76"/>
      <c r="D767" s="187"/>
      <c r="E767" s="43"/>
      <c r="F767" s="43"/>
      <c r="G767" s="43"/>
      <c r="H767" s="43"/>
      <c r="I767" s="43"/>
      <c r="J767" s="43"/>
      <c r="K767" s="43"/>
      <c r="L767" s="43"/>
      <c r="M767" s="43"/>
      <c r="N767" s="37"/>
      <c r="O767" s="38"/>
      <c r="P767" s="34"/>
      <c r="Q767" s="34"/>
      <c r="R767" s="76"/>
      <c r="S767" s="47"/>
      <c r="T767" s="42"/>
      <c r="U767" s="42"/>
      <c r="W767" s="96"/>
      <c r="X767" s="223"/>
      <c r="Y767" s="98"/>
      <c r="Z767" s="97"/>
      <c r="AA767" s="99"/>
    </row>
    <row r="768" spans="1:27" s="95" customFormat="1">
      <c r="A768" s="34"/>
      <c r="B768" s="76"/>
      <c r="C768" s="76"/>
      <c r="D768" s="187"/>
      <c r="E768" s="43"/>
      <c r="F768" s="43"/>
      <c r="G768" s="43"/>
      <c r="H768" s="43"/>
      <c r="I768" s="43"/>
      <c r="J768" s="43"/>
      <c r="K768" s="43"/>
      <c r="L768" s="43"/>
      <c r="M768" s="43"/>
      <c r="N768" s="37"/>
      <c r="O768" s="38"/>
      <c r="P768" s="34"/>
      <c r="Q768" s="34"/>
      <c r="R768" s="76"/>
      <c r="S768" s="47"/>
      <c r="T768" s="42"/>
      <c r="U768" s="42"/>
      <c r="W768" s="96"/>
      <c r="X768" s="223"/>
      <c r="Y768" s="98"/>
      <c r="Z768" s="97"/>
      <c r="AA768" s="99"/>
    </row>
    <row r="769" spans="1:27" s="95" customFormat="1">
      <c r="A769" s="34"/>
      <c r="B769" s="76"/>
      <c r="C769" s="76"/>
      <c r="D769" s="187"/>
      <c r="E769" s="43"/>
      <c r="F769" s="43"/>
      <c r="G769" s="43"/>
      <c r="H769" s="43"/>
      <c r="I769" s="43"/>
      <c r="J769" s="43"/>
      <c r="K769" s="43"/>
      <c r="L769" s="43"/>
      <c r="M769" s="43"/>
      <c r="N769" s="37"/>
      <c r="O769" s="38"/>
      <c r="P769" s="34"/>
      <c r="Q769" s="34"/>
      <c r="R769" s="76"/>
      <c r="S769" s="47"/>
      <c r="T769" s="42"/>
      <c r="U769" s="42"/>
      <c r="W769" s="96"/>
      <c r="X769" s="223"/>
      <c r="Y769" s="98"/>
      <c r="Z769" s="97"/>
      <c r="AA769" s="99"/>
    </row>
    <row r="770" spans="1:27" s="95" customFormat="1">
      <c r="A770" s="34"/>
      <c r="B770" s="76"/>
      <c r="C770" s="76"/>
      <c r="D770" s="187"/>
      <c r="E770" s="43"/>
      <c r="F770" s="43"/>
      <c r="G770" s="43"/>
      <c r="H770" s="43"/>
      <c r="I770" s="43"/>
      <c r="J770" s="43"/>
      <c r="K770" s="43"/>
      <c r="L770" s="43"/>
      <c r="M770" s="43"/>
      <c r="N770" s="37"/>
      <c r="O770" s="38"/>
      <c r="P770" s="34"/>
      <c r="Q770" s="34"/>
      <c r="R770" s="76"/>
      <c r="S770" s="47"/>
      <c r="T770" s="42"/>
      <c r="U770" s="42"/>
      <c r="W770" s="96"/>
      <c r="X770" s="223"/>
      <c r="Y770" s="98"/>
      <c r="Z770" s="97"/>
      <c r="AA770" s="99"/>
    </row>
    <row r="771" spans="1:27" s="95" customFormat="1">
      <c r="A771" s="34"/>
      <c r="B771" s="76"/>
      <c r="C771" s="76"/>
      <c r="D771" s="187"/>
      <c r="E771" s="43"/>
      <c r="F771" s="43"/>
      <c r="G771" s="43"/>
      <c r="H771" s="43"/>
      <c r="I771" s="43"/>
      <c r="J771" s="43"/>
      <c r="K771" s="43"/>
      <c r="L771" s="43"/>
      <c r="M771" s="43"/>
      <c r="N771" s="37"/>
      <c r="O771" s="38"/>
      <c r="P771" s="34"/>
      <c r="Q771" s="34"/>
      <c r="R771" s="76"/>
      <c r="S771" s="47"/>
      <c r="T771" s="42"/>
      <c r="U771" s="42"/>
      <c r="W771" s="96"/>
      <c r="X771" s="223"/>
      <c r="Y771" s="98"/>
      <c r="Z771" s="97"/>
      <c r="AA771" s="99"/>
    </row>
    <row r="772" spans="1:27" s="95" customFormat="1">
      <c r="A772" s="34"/>
      <c r="B772" s="76"/>
      <c r="C772" s="76"/>
      <c r="D772" s="187"/>
      <c r="E772" s="43"/>
      <c r="F772" s="43"/>
      <c r="G772" s="43"/>
      <c r="H772" s="43"/>
      <c r="I772" s="43"/>
      <c r="J772" s="43"/>
      <c r="K772" s="43"/>
      <c r="L772" s="43"/>
      <c r="M772" s="43"/>
      <c r="N772" s="37"/>
      <c r="O772" s="38"/>
      <c r="P772" s="34"/>
      <c r="Q772" s="34"/>
      <c r="R772" s="76"/>
      <c r="S772" s="47"/>
      <c r="T772" s="42"/>
      <c r="U772" s="42"/>
      <c r="W772" s="96"/>
      <c r="X772" s="223"/>
      <c r="Y772" s="98"/>
      <c r="Z772" s="97"/>
      <c r="AA772" s="99"/>
    </row>
    <row r="773" spans="1:27" s="95" customFormat="1">
      <c r="A773" s="34"/>
      <c r="B773" s="76"/>
      <c r="C773" s="76"/>
      <c r="D773" s="187"/>
      <c r="E773" s="43"/>
      <c r="F773" s="43"/>
      <c r="G773" s="43"/>
      <c r="H773" s="43"/>
      <c r="I773" s="43"/>
      <c r="J773" s="43"/>
      <c r="K773" s="43"/>
      <c r="L773" s="43"/>
      <c r="M773" s="43"/>
      <c r="N773" s="37"/>
      <c r="O773" s="38"/>
      <c r="P773" s="34"/>
      <c r="Q773" s="39"/>
      <c r="R773" s="84"/>
      <c r="S773" s="47"/>
      <c r="T773" s="42"/>
      <c r="U773" s="42"/>
      <c r="W773" s="96"/>
      <c r="X773" s="223"/>
      <c r="Y773" s="98"/>
      <c r="Z773" s="97"/>
      <c r="AA773" s="99"/>
    </row>
    <row r="774" spans="1:27" s="95" customFormat="1">
      <c r="A774" s="34"/>
      <c r="B774" s="76"/>
      <c r="C774" s="76"/>
      <c r="D774" s="187"/>
      <c r="E774" s="43"/>
      <c r="F774" s="43"/>
      <c r="G774" s="43"/>
      <c r="H774" s="43"/>
      <c r="I774" s="43"/>
      <c r="J774" s="43"/>
      <c r="K774" s="43"/>
      <c r="L774" s="43"/>
      <c r="M774" s="43"/>
      <c r="N774" s="37"/>
      <c r="O774" s="38"/>
      <c r="P774" s="34"/>
      <c r="Q774" s="39"/>
      <c r="R774" s="84"/>
      <c r="S774" s="47"/>
      <c r="T774" s="42"/>
      <c r="U774" s="42"/>
      <c r="W774" s="96"/>
      <c r="X774" s="223"/>
      <c r="Y774" s="98"/>
      <c r="Z774" s="97"/>
      <c r="AA774" s="99"/>
    </row>
    <row r="775" spans="1:27" s="95" customFormat="1">
      <c r="A775" s="34"/>
      <c r="B775" s="76"/>
      <c r="C775" s="76"/>
      <c r="D775" s="187"/>
      <c r="E775" s="43"/>
      <c r="F775" s="43"/>
      <c r="G775" s="43"/>
      <c r="H775" s="43"/>
      <c r="I775" s="43"/>
      <c r="J775" s="43"/>
      <c r="K775" s="43"/>
      <c r="L775" s="43"/>
      <c r="M775" s="43"/>
      <c r="N775" s="37"/>
      <c r="O775" s="38"/>
      <c r="P775" s="34"/>
      <c r="Q775" s="39"/>
      <c r="R775" s="84"/>
      <c r="S775" s="47"/>
      <c r="T775" s="42"/>
      <c r="U775" s="42"/>
      <c r="W775" s="96"/>
      <c r="X775" s="223"/>
      <c r="Y775" s="98"/>
      <c r="Z775" s="97"/>
      <c r="AA775" s="99"/>
    </row>
    <row r="776" spans="1:27" s="95" customFormat="1">
      <c r="A776" s="34"/>
      <c r="B776" s="76"/>
      <c r="C776" s="76"/>
      <c r="D776" s="187"/>
      <c r="E776" s="43"/>
      <c r="F776" s="43"/>
      <c r="G776" s="43"/>
      <c r="H776" s="43"/>
      <c r="I776" s="43"/>
      <c r="J776" s="43"/>
      <c r="K776" s="43"/>
      <c r="L776" s="43"/>
      <c r="M776" s="43"/>
      <c r="N776" s="37"/>
      <c r="O776" s="38"/>
      <c r="P776" s="34"/>
      <c r="Q776" s="34"/>
      <c r="R776" s="76"/>
      <c r="S776" s="47"/>
      <c r="T776" s="42"/>
      <c r="U776" s="42"/>
      <c r="W776" s="96"/>
      <c r="X776" s="223"/>
      <c r="Y776" s="98"/>
      <c r="Z776" s="97"/>
      <c r="AA776" s="99"/>
    </row>
    <row r="777" spans="1:27" s="95" customFormat="1">
      <c r="A777" s="34"/>
      <c r="B777" s="76"/>
      <c r="C777" s="76"/>
      <c r="D777" s="187"/>
      <c r="E777" s="43"/>
      <c r="F777" s="43"/>
      <c r="G777" s="43"/>
      <c r="H777" s="43"/>
      <c r="I777" s="43"/>
      <c r="J777" s="43"/>
      <c r="K777" s="43"/>
      <c r="L777" s="43"/>
      <c r="M777" s="43"/>
      <c r="N777" s="37"/>
      <c r="O777" s="38"/>
      <c r="P777" s="34"/>
      <c r="Q777" s="34"/>
      <c r="R777" s="76"/>
      <c r="S777" s="47"/>
      <c r="T777" s="42"/>
      <c r="U777" s="42"/>
      <c r="W777" s="96"/>
      <c r="X777" s="223"/>
      <c r="Y777" s="98"/>
      <c r="Z777" s="97"/>
      <c r="AA777" s="99"/>
    </row>
    <row r="778" spans="1:27" s="95" customFormat="1">
      <c r="A778" s="34"/>
      <c r="B778" s="76"/>
      <c r="C778" s="76"/>
      <c r="D778" s="187"/>
      <c r="E778" s="43"/>
      <c r="F778" s="43"/>
      <c r="G778" s="43"/>
      <c r="H778" s="43"/>
      <c r="I778" s="43"/>
      <c r="J778" s="43"/>
      <c r="K778" s="43"/>
      <c r="L778" s="43"/>
      <c r="M778" s="43"/>
      <c r="N778" s="37"/>
      <c r="O778" s="38"/>
      <c r="P778" s="34"/>
      <c r="Q778" s="34"/>
      <c r="R778" s="76"/>
      <c r="S778" s="47"/>
      <c r="T778" s="42"/>
      <c r="U778" s="42"/>
      <c r="W778" s="96"/>
      <c r="X778" s="223"/>
      <c r="Y778" s="98"/>
      <c r="Z778" s="97"/>
      <c r="AA778" s="99"/>
    </row>
    <row r="779" spans="1:27" s="95" customFormat="1">
      <c r="A779" s="34"/>
      <c r="B779" s="76"/>
      <c r="C779" s="76"/>
      <c r="D779" s="187"/>
      <c r="E779" s="43"/>
      <c r="F779" s="43"/>
      <c r="G779" s="43"/>
      <c r="H779" s="43"/>
      <c r="I779" s="43"/>
      <c r="J779" s="43"/>
      <c r="K779" s="43"/>
      <c r="L779" s="43"/>
      <c r="M779" s="43"/>
      <c r="N779" s="37"/>
      <c r="O779" s="38"/>
      <c r="P779" s="34"/>
      <c r="Q779" s="34"/>
      <c r="R779" s="76"/>
      <c r="S779" s="47"/>
      <c r="T779" s="42"/>
      <c r="U779" s="42"/>
      <c r="W779" s="96"/>
      <c r="X779" s="223"/>
      <c r="Y779" s="98"/>
      <c r="Z779" s="97"/>
      <c r="AA779" s="99"/>
    </row>
    <row r="780" spans="1:27" s="95" customFormat="1">
      <c r="A780" s="34"/>
      <c r="B780" s="76"/>
      <c r="C780" s="76"/>
      <c r="D780" s="187"/>
      <c r="E780" s="43"/>
      <c r="F780" s="43"/>
      <c r="G780" s="43"/>
      <c r="H780" s="43"/>
      <c r="I780" s="43"/>
      <c r="J780" s="43"/>
      <c r="K780" s="43"/>
      <c r="L780" s="43"/>
      <c r="M780" s="43"/>
      <c r="N780" s="37"/>
      <c r="O780" s="38"/>
      <c r="P780" s="34"/>
      <c r="Q780" s="34"/>
      <c r="R780" s="76"/>
      <c r="S780" s="47"/>
      <c r="T780" s="42"/>
      <c r="U780" s="42"/>
      <c r="W780" s="96"/>
      <c r="X780" s="223"/>
      <c r="Y780" s="98"/>
      <c r="Z780" s="97"/>
      <c r="AA780" s="99"/>
    </row>
    <row r="781" spans="1:27" s="95" customFormat="1">
      <c r="A781" s="34"/>
      <c r="B781" s="76"/>
      <c r="C781" s="76"/>
      <c r="D781" s="187"/>
      <c r="E781" s="43"/>
      <c r="F781" s="43"/>
      <c r="G781" s="43"/>
      <c r="H781" s="43"/>
      <c r="I781" s="43"/>
      <c r="J781" s="43"/>
      <c r="K781" s="43"/>
      <c r="L781" s="43"/>
      <c r="M781" s="43"/>
      <c r="N781" s="37"/>
      <c r="O781" s="38"/>
      <c r="P781" s="34"/>
      <c r="Q781" s="34"/>
      <c r="R781" s="76"/>
      <c r="S781" s="47"/>
      <c r="T781" s="42"/>
      <c r="U781" s="42"/>
      <c r="W781" s="96"/>
      <c r="X781" s="223"/>
      <c r="Y781" s="98"/>
      <c r="Z781" s="97"/>
      <c r="AA781" s="99"/>
    </row>
    <row r="782" spans="1:27" s="95" customFormat="1">
      <c r="A782" s="34"/>
      <c r="B782" s="76"/>
      <c r="C782" s="76"/>
      <c r="D782" s="187"/>
      <c r="E782" s="43"/>
      <c r="F782" s="43"/>
      <c r="G782" s="43"/>
      <c r="H782" s="43"/>
      <c r="I782" s="43"/>
      <c r="J782" s="43"/>
      <c r="K782" s="43"/>
      <c r="L782" s="43"/>
      <c r="M782" s="43"/>
      <c r="N782" s="37"/>
      <c r="O782" s="38"/>
      <c r="P782" s="34"/>
      <c r="Q782" s="34"/>
      <c r="R782" s="76"/>
      <c r="S782" s="47"/>
      <c r="T782" s="42"/>
      <c r="U782" s="42"/>
      <c r="W782" s="96"/>
      <c r="X782" s="223"/>
      <c r="Y782" s="98"/>
      <c r="Z782" s="97"/>
      <c r="AA782" s="99"/>
    </row>
    <row r="783" spans="1:27" s="95" customFormat="1">
      <c r="A783" s="34"/>
      <c r="B783" s="76"/>
      <c r="C783" s="76"/>
      <c r="D783" s="187"/>
      <c r="E783" s="43"/>
      <c r="F783" s="43"/>
      <c r="G783" s="43"/>
      <c r="H783" s="43"/>
      <c r="I783" s="43"/>
      <c r="J783" s="43"/>
      <c r="K783" s="43"/>
      <c r="L783" s="43"/>
      <c r="M783" s="43"/>
      <c r="N783" s="37"/>
      <c r="O783" s="38"/>
      <c r="P783" s="34"/>
      <c r="Q783" s="34"/>
      <c r="R783" s="76"/>
      <c r="S783" s="47"/>
      <c r="T783" s="42"/>
      <c r="U783" s="42"/>
      <c r="W783" s="96"/>
      <c r="X783" s="223"/>
      <c r="Y783" s="98"/>
      <c r="Z783" s="97"/>
      <c r="AA783" s="99"/>
    </row>
    <row r="784" spans="1:27" s="95" customFormat="1">
      <c r="A784" s="34"/>
      <c r="B784" s="76"/>
      <c r="C784" s="76"/>
      <c r="D784" s="187"/>
      <c r="E784" s="43"/>
      <c r="F784" s="43"/>
      <c r="G784" s="43"/>
      <c r="H784" s="43"/>
      <c r="I784" s="43"/>
      <c r="J784" s="43"/>
      <c r="K784" s="43"/>
      <c r="L784" s="43"/>
      <c r="M784" s="43"/>
      <c r="N784" s="37"/>
      <c r="O784" s="38"/>
      <c r="P784" s="34"/>
      <c r="Q784" s="34"/>
      <c r="R784" s="76"/>
      <c r="S784" s="47"/>
      <c r="T784" s="42"/>
      <c r="U784" s="42"/>
      <c r="W784" s="96"/>
      <c r="X784" s="223"/>
      <c r="Y784" s="98"/>
      <c r="Z784" s="97"/>
      <c r="AA784" s="99"/>
    </row>
    <row r="785" spans="1:27" s="95" customFormat="1">
      <c r="A785" s="34"/>
      <c r="B785" s="76"/>
      <c r="C785" s="76"/>
      <c r="D785" s="187"/>
      <c r="E785" s="43"/>
      <c r="F785" s="43"/>
      <c r="G785" s="43"/>
      <c r="H785" s="43"/>
      <c r="I785" s="43"/>
      <c r="J785" s="43"/>
      <c r="K785" s="43"/>
      <c r="L785" s="43"/>
      <c r="M785" s="43"/>
      <c r="N785" s="37"/>
      <c r="O785" s="38"/>
      <c r="P785" s="34"/>
      <c r="Q785" s="34"/>
      <c r="R785" s="76"/>
      <c r="S785" s="47"/>
      <c r="T785" s="42"/>
      <c r="U785" s="42"/>
      <c r="W785" s="96"/>
      <c r="X785" s="223"/>
      <c r="Y785" s="98"/>
      <c r="Z785" s="97"/>
      <c r="AA785" s="99"/>
    </row>
    <row r="786" spans="1:27" s="95" customFormat="1">
      <c r="A786" s="34"/>
      <c r="B786" s="76"/>
      <c r="C786" s="76"/>
      <c r="D786" s="187"/>
      <c r="E786" s="43"/>
      <c r="F786" s="43"/>
      <c r="G786" s="43"/>
      <c r="H786" s="43"/>
      <c r="I786" s="43"/>
      <c r="J786" s="43"/>
      <c r="K786" s="43"/>
      <c r="L786" s="43"/>
      <c r="M786" s="43"/>
      <c r="N786" s="37"/>
      <c r="O786" s="38"/>
      <c r="P786" s="34"/>
      <c r="Q786" s="34"/>
      <c r="R786" s="76"/>
      <c r="S786" s="47"/>
      <c r="T786" s="42"/>
      <c r="U786" s="42"/>
      <c r="W786" s="96"/>
      <c r="X786" s="223"/>
      <c r="Y786" s="98"/>
      <c r="Z786" s="97"/>
      <c r="AA786" s="99"/>
    </row>
    <row r="787" spans="1:27" s="95" customFormat="1">
      <c r="A787" s="34"/>
      <c r="B787" s="76"/>
      <c r="C787" s="76"/>
      <c r="D787" s="188"/>
      <c r="E787" s="44"/>
      <c r="F787" s="44"/>
      <c r="G787" s="44"/>
      <c r="H787" s="44"/>
      <c r="I787" s="44"/>
      <c r="J787" s="44"/>
      <c r="K787" s="44"/>
      <c r="L787" s="44"/>
      <c r="M787" s="44"/>
      <c r="N787" s="37"/>
      <c r="O787" s="38"/>
      <c r="P787" s="34"/>
      <c r="Q787" s="34"/>
      <c r="R787" s="76"/>
      <c r="S787" s="47"/>
      <c r="T787" s="42"/>
      <c r="U787" s="42"/>
      <c r="W787" s="96"/>
      <c r="X787" s="223"/>
      <c r="Y787" s="98"/>
      <c r="Z787" s="97"/>
      <c r="AA787" s="99"/>
    </row>
    <row r="788" spans="1:27" s="95" customFormat="1">
      <c r="A788" s="34"/>
      <c r="B788" s="76"/>
      <c r="C788" s="76"/>
      <c r="D788" s="188"/>
      <c r="E788" s="44"/>
      <c r="F788" s="44"/>
      <c r="G788" s="44"/>
      <c r="H788" s="44"/>
      <c r="I788" s="44"/>
      <c r="J788" s="44"/>
      <c r="K788" s="44"/>
      <c r="L788" s="44"/>
      <c r="M788" s="44"/>
      <c r="N788" s="37"/>
      <c r="O788" s="38"/>
      <c r="P788" s="34"/>
      <c r="Q788" s="34"/>
      <c r="R788" s="76"/>
      <c r="S788" s="47"/>
      <c r="T788" s="42"/>
      <c r="U788" s="42"/>
      <c r="W788" s="96"/>
      <c r="X788" s="223"/>
      <c r="Y788" s="98"/>
      <c r="Z788" s="97"/>
      <c r="AA788" s="99"/>
    </row>
    <row r="789" spans="1:27" s="95" customFormat="1">
      <c r="A789" s="34"/>
      <c r="B789" s="76"/>
      <c r="C789" s="76"/>
      <c r="D789" s="188"/>
      <c r="E789" s="44"/>
      <c r="F789" s="44"/>
      <c r="G789" s="44"/>
      <c r="H789" s="44"/>
      <c r="I789" s="44"/>
      <c r="J789" s="44"/>
      <c r="K789" s="44"/>
      <c r="L789" s="44"/>
      <c r="M789" s="44"/>
      <c r="N789" s="37"/>
      <c r="O789" s="38"/>
      <c r="P789" s="34"/>
      <c r="Q789" s="34"/>
      <c r="R789" s="76"/>
      <c r="S789" s="47"/>
      <c r="T789" s="42"/>
      <c r="U789" s="42"/>
      <c r="W789" s="96"/>
      <c r="X789" s="223"/>
      <c r="Y789" s="98"/>
      <c r="Z789" s="97"/>
      <c r="AA789" s="99"/>
    </row>
    <row r="790" spans="1:27" s="95" customFormat="1">
      <c r="A790" s="34"/>
      <c r="B790" s="76"/>
      <c r="C790" s="76"/>
      <c r="D790" s="188"/>
      <c r="E790" s="44"/>
      <c r="F790" s="44"/>
      <c r="G790" s="44"/>
      <c r="H790" s="44"/>
      <c r="I790" s="44"/>
      <c r="J790" s="44"/>
      <c r="K790" s="44"/>
      <c r="L790" s="44"/>
      <c r="M790" s="44"/>
      <c r="N790" s="37"/>
      <c r="O790" s="38"/>
      <c r="P790" s="34"/>
      <c r="Q790" s="34"/>
      <c r="R790" s="76"/>
      <c r="S790" s="47"/>
      <c r="T790" s="42"/>
      <c r="U790" s="42"/>
      <c r="W790" s="96"/>
      <c r="X790" s="223"/>
      <c r="Y790" s="98"/>
      <c r="Z790" s="97"/>
      <c r="AA790" s="99"/>
    </row>
    <row r="791" spans="1:27" s="95" customFormat="1">
      <c r="A791" s="34"/>
      <c r="B791" s="76"/>
      <c r="C791" s="76"/>
      <c r="D791" s="188"/>
      <c r="E791" s="44"/>
      <c r="F791" s="44"/>
      <c r="G791" s="44"/>
      <c r="H791" s="44"/>
      <c r="I791" s="44"/>
      <c r="J791" s="44"/>
      <c r="K791" s="44"/>
      <c r="L791" s="44"/>
      <c r="M791" s="44"/>
      <c r="N791" s="37"/>
      <c r="O791" s="38"/>
      <c r="P791" s="34"/>
      <c r="Q791" s="34"/>
      <c r="R791" s="76"/>
      <c r="S791" s="47"/>
      <c r="T791" s="42"/>
      <c r="U791" s="42"/>
      <c r="W791" s="96"/>
      <c r="X791" s="223"/>
      <c r="Y791" s="98"/>
      <c r="Z791" s="97"/>
      <c r="AA791" s="99"/>
    </row>
    <row r="792" spans="1:27" s="95" customFormat="1">
      <c r="A792" s="34"/>
      <c r="B792" s="76"/>
      <c r="C792" s="76"/>
      <c r="D792" s="188"/>
      <c r="E792" s="44"/>
      <c r="F792" s="44"/>
      <c r="G792" s="44"/>
      <c r="H792" s="44"/>
      <c r="I792" s="44"/>
      <c r="J792" s="44"/>
      <c r="K792" s="44"/>
      <c r="L792" s="44"/>
      <c r="M792" s="44"/>
      <c r="N792" s="50"/>
      <c r="O792" s="38"/>
      <c r="P792" s="34"/>
      <c r="Q792" s="34"/>
      <c r="R792" s="76"/>
      <c r="S792" s="47"/>
      <c r="T792" s="42"/>
      <c r="U792" s="42"/>
      <c r="W792" s="96"/>
      <c r="X792" s="223"/>
      <c r="Y792" s="98"/>
      <c r="Z792" s="97"/>
      <c r="AA792" s="99"/>
    </row>
    <row r="793" spans="1:27" s="95" customFormat="1">
      <c r="A793" s="34"/>
      <c r="B793" s="76"/>
      <c r="C793" s="76"/>
      <c r="D793" s="188"/>
      <c r="E793" s="44"/>
      <c r="F793" s="44"/>
      <c r="G793" s="44"/>
      <c r="H793" s="44"/>
      <c r="I793" s="44"/>
      <c r="J793" s="44"/>
      <c r="K793" s="44"/>
      <c r="L793" s="44"/>
      <c r="M793" s="44"/>
      <c r="N793" s="37"/>
      <c r="O793" s="38"/>
      <c r="P793" s="34"/>
      <c r="Q793" s="34"/>
      <c r="R793" s="76"/>
      <c r="S793" s="47"/>
      <c r="T793" s="42"/>
      <c r="U793" s="42"/>
      <c r="W793" s="96"/>
      <c r="X793" s="223"/>
      <c r="Y793" s="98"/>
      <c r="Z793" s="97"/>
      <c r="AA793" s="99"/>
    </row>
    <row r="794" spans="1:27" s="95" customFormat="1">
      <c r="A794" s="34"/>
      <c r="B794" s="76"/>
      <c r="C794" s="76"/>
      <c r="D794" s="188"/>
      <c r="E794" s="44"/>
      <c r="F794" s="44"/>
      <c r="G794" s="44"/>
      <c r="H794" s="44"/>
      <c r="I794" s="44"/>
      <c r="J794" s="44"/>
      <c r="K794" s="44"/>
      <c r="L794" s="44"/>
      <c r="M794" s="44"/>
      <c r="N794" s="37"/>
      <c r="O794" s="38"/>
      <c r="P794" s="34"/>
      <c r="Q794" s="34"/>
      <c r="R794" s="76"/>
      <c r="S794" s="47"/>
      <c r="T794" s="42"/>
      <c r="U794" s="42"/>
      <c r="W794" s="96"/>
      <c r="X794" s="223"/>
      <c r="Y794" s="98"/>
      <c r="Z794" s="97"/>
      <c r="AA794" s="99"/>
    </row>
    <row r="795" spans="1:27" s="95" customFormat="1">
      <c r="A795" s="34"/>
      <c r="B795" s="76"/>
      <c r="C795" s="76"/>
      <c r="D795" s="188"/>
      <c r="E795" s="44"/>
      <c r="F795" s="44"/>
      <c r="G795" s="44"/>
      <c r="H795" s="44"/>
      <c r="I795" s="44"/>
      <c r="J795" s="44"/>
      <c r="K795" s="44"/>
      <c r="L795" s="44"/>
      <c r="M795" s="44"/>
      <c r="N795" s="37"/>
      <c r="O795" s="38"/>
      <c r="P795" s="34"/>
      <c r="Q795" s="34"/>
      <c r="R795" s="76"/>
      <c r="S795" s="47"/>
      <c r="T795" s="42"/>
      <c r="U795" s="42"/>
      <c r="W795" s="96"/>
      <c r="X795" s="223"/>
      <c r="Y795" s="98"/>
      <c r="Z795" s="97"/>
      <c r="AA795" s="99"/>
    </row>
    <row r="796" spans="1:27" s="95" customFormat="1">
      <c r="A796" s="34"/>
      <c r="B796" s="76"/>
      <c r="C796" s="76"/>
      <c r="D796" s="188"/>
      <c r="E796" s="44"/>
      <c r="F796" s="44"/>
      <c r="G796" s="44"/>
      <c r="H796" s="44"/>
      <c r="I796" s="44"/>
      <c r="J796" s="44"/>
      <c r="K796" s="44"/>
      <c r="L796" s="44"/>
      <c r="M796" s="44"/>
      <c r="N796" s="37"/>
      <c r="O796" s="38"/>
      <c r="P796" s="34"/>
      <c r="Q796" s="34"/>
      <c r="R796" s="76"/>
      <c r="S796" s="47"/>
      <c r="T796" s="42"/>
      <c r="U796" s="42"/>
      <c r="W796" s="96"/>
      <c r="X796" s="223"/>
      <c r="Y796" s="98"/>
      <c r="Z796" s="97"/>
      <c r="AA796" s="99"/>
    </row>
    <row r="797" spans="1:27" s="95" customFormat="1">
      <c r="A797" s="34"/>
      <c r="B797" s="76"/>
      <c r="C797" s="76"/>
      <c r="D797" s="188"/>
      <c r="E797" s="44"/>
      <c r="F797" s="44"/>
      <c r="G797" s="44"/>
      <c r="H797" s="44"/>
      <c r="I797" s="44"/>
      <c r="J797" s="44"/>
      <c r="K797" s="44"/>
      <c r="L797" s="44"/>
      <c r="M797" s="44"/>
      <c r="N797" s="37"/>
      <c r="O797" s="38"/>
      <c r="P797" s="34"/>
      <c r="Q797" s="34"/>
      <c r="R797" s="76"/>
      <c r="S797" s="47"/>
      <c r="T797" s="42"/>
      <c r="U797" s="42"/>
      <c r="W797" s="96"/>
      <c r="X797" s="223"/>
      <c r="Y797" s="98"/>
      <c r="Z797" s="97"/>
      <c r="AA797" s="99"/>
    </row>
    <row r="798" spans="1:27" s="95" customFormat="1">
      <c r="A798" s="34"/>
      <c r="B798" s="76"/>
      <c r="C798" s="76"/>
      <c r="D798" s="188"/>
      <c r="E798" s="44"/>
      <c r="F798" s="44"/>
      <c r="G798" s="44"/>
      <c r="H798" s="44"/>
      <c r="I798" s="44"/>
      <c r="J798" s="44"/>
      <c r="K798" s="44"/>
      <c r="L798" s="44"/>
      <c r="M798" s="44"/>
      <c r="N798" s="37"/>
      <c r="O798" s="38"/>
      <c r="P798" s="34"/>
      <c r="Q798" s="34"/>
      <c r="R798" s="76"/>
      <c r="S798" s="47"/>
      <c r="T798" s="42"/>
      <c r="U798" s="42"/>
      <c r="W798" s="96"/>
      <c r="X798" s="223"/>
      <c r="Y798" s="98"/>
      <c r="Z798" s="97"/>
      <c r="AA798" s="99"/>
    </row>
    <row r="799" spans="1:27" s="95" customFormat="1">
      <c r="A799" s="34"/>
      <c r="B799" s="76"/>
      <c r="C799" s="76"/>
      <c r="D799" s="188"/>
      <c r="E799" s="44"/>
      <c r="F799" s="44"/>
      <c r="G799" s="44"/>
      <c r="H799" s="44"/>
      <c r="I799" s="44"/>
      <c r="J799" s="44"/>
      <c r="K799" s="44"/>
      <c r="L799" s="44"/>
      <c r="M799" s="44"/>
      <c r="N799" s="37"/>
      <c r="O799" s="38"/>
      <c r="P799" s="34"/>
      <c r="Q799" s="34"/>
      <c r="R799" s="76"/>
      <c r="S799" s="47"/>
      <c r="T799" s="42"/>
      <c r="U799" s="42"/>
      <c r="W799" s="96"/>
      <c r="X799" s="223"/>
      <c r="Y799" s="98"/>
      <c r="Z799" s="97"/>
      <c r="AA799" s="99"/>
    </row>
    <row r="800" spans="1:27" s="95" customFormat="1">
      <c r="A800" s="34"/>
      <c r="B800" s="76"/>
      <c r="C800" s="76"/>
      <c r="D800" s="188"/>
      <c r="E800" s="44"/>
      <c r="F800" s="44"/>
      <c r="G800" s="44"/>
      <c r="H800" s="44"/>
      <c r="I800" s="44"/>
      <c r="J800" s="44"/>
      <c r="K800" s="44"/>
      <c r="L800" s="44"/>
      <c r="M800" s="44"/>
      <c r="N800" s="37"/>
      <c r="O800" s="38"/>
      <c r="P800" s="34"/>
      <c r="Q800" s="34"/>
      <c r="R800" s="76"/>
      <c r="S800" s="47"/>
      <c r="T800" s="42"/>
      <c r="U800" s="42"/>
      <c r="W800" s="96"/>
      <c r="X800" s="223"/>
      <c r="Y800" s="98"/>
      <c r="Z800" s="97"/>
      <c r="AA800" s="99"/>
    </row>
    <row r="801" spans="1:27" s="95" customFormat="1">
      <c r="A801" s="34"/>
      <c r="B801" s="76"/>
      <c r="C801" s="76"/>
      <c r="D801" s="188"/>
      <c r="E801" s="44"/>
      <c r="F801" s="44"/>
      <c r="G801" s="44"/>
      <c r="H801" s="44"/>
      <c r="I801" s="44"/>
      <c r="J801" s="44"/>
      <c r="K801" s="44"/>
      <c r="L801" s="44"/>
      <c r="M801" s="44"/>
      <c r="N801" s="37"/>
      <c r="O801" s="38"/>
      <c r="P801" s="34"/>
      <c r="Q801" s="34"/>
      <c r="R801" s="76"/>
      <c r="S801" s="47"/>
      <c r="T801" s="42"/>
      <c r="U801" s="42"/>
      <c r="W801" s="96"/>
      <c r="X801" s="223"/>
      <c r="Y801" s="98"/>
      <c r="Z801" s="97"/>
      <c r="AA801" s="99"/>
    </row>
    <row r="802" spans="1:27" s="95" customFormat="1">
      <c r="A802" s="34"/>
      <c r="B802" s="76"/>
      <c r="C802" s="76"/>
      <c r="D802" s="188"/>
      <c r="E802" s="44"/>
      <c r="F802" s="44"/>
      <c r="G802" s="44"/>
      <c r="H802" s="44"/>
      <c r="I802" s="44"/>
      <c r="J802" s="44"/>
      <c r="K802" s="44"/>
      <c r="L802" s="44"/>
      <c r="M802" s="44"/>
      <c r="N802" s="37"/>
      <c r="O802" s="38"/>
      <c r="P802" s="34"/>
      <c r="Q802" s="34"/>
      <c r="R802" s="76"/>
      <c r="S802" s="47"/>
      <c r="T802" s="42"/>
      <c r="U802" s="42"/>
      <c r="W802" s="96"/>
      <c r="X802" s="223"/>
      <c r="Y802" s="98"/>
      <c r="Z802" s="97"/>
      <c r="AA802" s="99"/>
    </row>
    <row r="803" spans="1:27" s="95" customFormat="1">
      <c r="A803" s="34"/>
      <c r="B803" s="76"/>
      <c r="C803" s="76"/>
      <c r="D803" s="188"/>
      <c r="E803" s="44"/>
      <c r="F803" s="44"/>
      <c r="G803" s="44"/>
      <c r="H803" s="44"/>
      <c r="I803" s="44"/>
      <c r="J803" s="44"/>
      <c r="K803" s="44"/>
      <c r="L803" s="44"/>
      <c r="M803" s="44"/>
      <c r="N803" s="37"/>
      <c r="O803" s="38"/>
      <c r="P803" s="34"/>
      <c r="Q803" s="34"/>
      <c r="R803" s="76"/>
      <c r="S803" s="47"/>
      <c r="T803" s="42"/>
      <c r="U803" s="42"/>
      <c r="W803" s="96"/>
      <c r="X803" s="223"/>
      <c r="Y803" s="98"/>
      <c r="Z803" s="97"/>
      <c r="AA803" s="99"/>
    </row>
    <row r="804" spans="1:27" s="95" customFormat="1">
      <c r="A804" s="34"/>
      <c r="B804" s="76"/>
      <c r="C804" s="76"/>
      <c r="D804" s="188"/>
      <c r="E804" s="44"/>
      <c r="F804" s="44"/>
      <c r="G804" s="44"/>
      <c r="H804" s="44"/>
      <c r="I804" s="44"/>
      <c r="J804" s="44"/>
      <c r="K804" s="44"/>
      <c r="L804" s="44"/>
      <c r="M804" s="44"/>
      <c r="N804" s="37"/>
      <c r="O804" s="38"/>
      <c r="P804" s="34"/>
      <c r="Q804" s="34"/>
      <c r="R804" s="76"/>
      <c r="S804" s="47"/>
      <c r="T804" s="42"/>
      <c r="U804" s="42"/>
      <c r="W804" s="96"/>
      <c r="X804" s="223"/>
      <c r="Y804" s="98"/>
      <c r="Z804" s="97"/>
      <c r="AA804" s="99"/>
    </row>
    <row r="805" spans="1:27" s="95" customFormat="1">
      <c r="A805" s="34"/>
      <c r="B805" s="76"/>
      <c r="C805" s="76"/>
      <c r="D805" s="188"/>
      <c r="E805" s="44"/>
      <c r="F805" s="44"/>
      <c r="G805" s="44"/>
      <c r="H805" s="44"/>
      <c r="I805" s="44"/>
      <c r="J805" s="44"/>
      <c r="K805" s="44"/>
      <c r="L805" s="44"/>
      <c r="M805" s="44"/>
      <c r="N805" s="37"/>
      <c r="O805" s="38"/>
      <c r="P805" s="34"/>
      <c r="Q805" s="34"/>
      <c r="R805" s="76"/>
      <c r="S805" s="47"/>
      <c r="T805" s="42"/>
      <c r="U805" s="42"/>
      <c r="W805" s="96"/>
      <c r="X805" s="223"/>
      <c r="Y805" s="98"/>
      <c r="Z805" s="97"/>
      <c r="AA805" s="99"/>
    </row>
    <row r="806" spans="1:27" s="95" customFormat="1">
      <c r="A806" s="34"/>
      <c r="B806" s="76"/>
      <c r="C806" s="76"/>
      <c r="D806" s="188"/>
      <c r="E806" s="44"/>
      <c r="F806" s="44"/>
      <c r="G806" s="44"/>
      <c r="H806" s="44"/>
      <c r="I806" s="44"/>
      <c r="J806" s="44"/>
      <c r="K806" s="44"/>
      <c r="L806" s="44"/>
      <c r="M806" s="44"/>
      <c r="N806" s="37"/>
      <c r="O806" s="38"/>
      <c r="P806" s="34"/>
      <c r="Q806" s="34"/>
      <c r="R806" s="76"/>
      <c r="S806" s="47"/>
      <c r="T806" s="42"/>
      <c r="U806" s="42"/>
      <c r="W806" s="96"/>
      <c r="X806" s="223"/>
      <c r="Y806" s="98"/>
      <c r="Z806" s="97"/>
      <c r="AA806" s="99"/>
    </row>
    <row r="807" spans="1:27" s="95" customFormat="1">
      <c r="A807" s="34"/>
      <c r="B807" s="76"/>
      <c r="C807" s="76"/>
      <c r="D807" s="188"/>
      <c r="E807" s="44"/>
      <c r="F807" s="44"/>
      <c r="G807" s="44"/>
      <c r="H807" s="44"/>
      <c r="I807" s="44"/>
      <c r="J807" s="44"/>
      <c r="K807" s="44"/>
      <c r="L807" s="44"/>
      <c r="M807" s="44"/>
      <c r="N807" s="37"/>
      <c r="O807" s="38"/>
      <c r="P807" s="34"/>
      <c r="Q807" s="34"/>
      <c r="R807" s="76"/>
      <c r="S807" s="47"/>
      <c r="T807" s="42"/>
      <c r="U807" s="42"/>
      <c r="W807" s="96"/>
      <c r="X807" s="223"/>
      <c r="Y807" s="98"/>
      <c r="Z807" s="97"/>
      <c r="AA807" s="99"/>
    </row>
    <row r="808" spans="1:27" s="95" customFormat="1">
      <c r="A808" s="34"/>
      <c r="B808" s="76"/>
      <c r="C808" s="76"/>
      <c r="D808" s="188"/>
      <c r="E808" s="44"/>
      <c r="F808" s="44"/>
      <c r="G808" s="44"/>
      <c r="H808" s="44"/>
      <c r="I808" s="44"/>
      <c r="J808" s="44"/>
      <c r="K808" s="44"/>
      <c r="L808" s="44"/>
      <c r="M808" s="44"/>
      <c r="N808" s="37"/>
      <c r="O808" s="38"/>
      <c r="P808" s="34"/>
      <c r="Q808" s="34"/>
      <c r="R808" s="76"/>
      <c r="S808" s="47"/>
      <c r="T808" s="42"/>
      <c r="U808" s="42"/>
      <c r="W808" s="96"/>
      <c r="X808" s="223"/>
      <c r="Y808" s="98"/>
      <c r="Z808" s="97"/>
      <c r="AA808" s="99"/>
    </row>
    <row r="809" spans="1:27" s="95" customFormat="1">
      <c r="A809" s="34"/>
      <c r="B809" s="76"/>
      <c r="C809" s="76"/>
      <c r="D809" s="188"/>
      <c r="E809" s="44"/>
      <c r="F809" s="44"/>
      <c r="G809" s="44"/>
      <c r="H809" s="44"/>
      <c r="I809" s="44"/>
      <c r="J809" s="44"/>
      <c r="K809" s="44"/>
      <c r="L809" s="44"/>
      <c r="M809" s="44"/>
      <c r="N809" s="37"/>
      <c r="O809" s="38"/>
      <c r="P809" s="34"/>
      <c r="Q809" s="34"/>
      <c r="R809" s="76"/>
      <c r="S809" s="47"/>
      <c r="T809" s="42"/>
      <c r="U809" s="42"/>
      <c r="W809" s="96"/>
      <c r="X809" s="223"/>
      <c r="Y809" s="98"/>
      <c r="Z809" s="97"/>
      <c r="AA809" s="99"/>
    </row>
    <row r="810" spans="1:27" s="95" customFormat="1">
      <c r="A810" s="34"/>
      <c r="B810" s="76"/>
      <c r="C810" s="76"/>
      <c r="D810" s="188"/>
      <c r="E810" s="44"/>
      <c r="F810" s="44"/>
      <c r="G810" s="44"/>
      <c r="H810" s="44"/>
      <c r="I810" s="44"/>
      <c r="J810" s="44"/>
      <c r="K810" s="44"/>
      <c r="L810" s="44"/>
      <c r="M810" s="44"/>
      <c r="N810" s="37"/>
      <c r="O810" s="38"/>
      <c r="P810" s="34"/>
      <c r="Q810" s="34"/>
      <c r="R810" s="76"/>
      <c r="S810" s="47"/>
      <c r="T810" s="42"/>
      <c r="U810" s="42"/>
      <c r="W810" s="96"/>
      <c r="X810" s="223"/>
      <c r="Y810" s="98"/>
      <c r="Z810" s="97"/>
      <c r="AA810" s="99"/>
    </row>
    <row r="811" spans="1:27" s="95" customFormat="1">
      <c r="A811" s="34"/>
      <c r="B811" s="76"/>
      <c r="C811" s="76"/>
      <c r="D811" s="188"/>
      <c r="E811" s="44"/>
      <c r="F811" s="44"/>
      <c r="G811" s="44"/>
      <c r="H811" s="44"/>
      <c r="I811" s="44"/>
      <c r="J811" s="44"/>
      <c r="K811" s="44"/>
      <c r="L811" s="44"/>
      <c r="M811" s="44"/>
      <c r="N811" s="37"/>
      <c r="O811" s="38"/>
      <c r="P811" s="34"/>
      <c r="Q811" s="34"/>
      <c r="R811" s="76"/>
      <c r="S811" s="47"/>
      <c r="T811" s="42"/>
      <c r="U811" s="42"/>
      <c r="W811" s="96"/>
      <c r="X811" s="223"/>
      <c r="Y811" s="98"/>
      <c r="Z811" s="97"/>
      <c r="AA811" s="99"/>
    </row>
    <row r="812" spans="1:27" s="95" customFormat="1">
      <c r="A812" s="34"/>
      <c r="B812" s="76"/>
      <c r="C812" s="76"/>
      <c r="D812" s="188"/>
      <c r="E812" s="44"/>
      <c r="F812" s="44"/>
      <c r="G812" s="44"/>
      <c r="H812" s="44"/>
      <c r="I812" s="44"/>
      <c r="J812" s="44"/>
      <c r="K812" s="44"/>
      <c r="L812" s="44"/>
      <c r="M812" s="44"/>
      <c r="N812" s="37"/>
      <c r="O812" s="38"/>
      <c r="P812" s="34"/>
      <c r="Q812" s="34"/>
      <c r="R812" s="76"/>
      <c r="S812" s="47"/>
      <c r="T812" s="42"/>
      <c r="U812" s="42"/>
      <c r="W812" s="96"/>
      <c r="X812" s="223"/>
      <c r="Y812" s="98"/>
      <c r="Z812" s="97"/>
      <c r="AA812" s="99"/>
    </row>
    <row r="813" spans="1:27" s="95" customFormat="1">
      <c r="A813" s="34"/>
      <c r="B813" s="76"/>
      <c r="C813" s="76"/>
      <c r="D813" s="188"/>
      <c r="E813" s="44"/>
      <c r="F813" s="44"/>
      <c r="G813" s="44"/>
      <c r="H813" s="44"/>
      <c r="I813" s="44"/>
      <c r="J813" s="44"/>
      <c r="K813" s="44"/>
      <c r="L813" s="44"/>
      <c r="M813" s="44"/>
      <c r="N813" s="37"/>
      <c r="O813" s="38"/>
      <c r="P813" s="34"/>
      <c r="Q813" s="34"/>
      <c r="R813" s="76"/>
      <c r="S813" s="47"/>
      <c r="T813" s="42"/>
      <c r="U813" s="42"/>
      <c r="W813" s="96"/>
      <c r="X813" s="223"/>
      <c r="Y813" s="98"/>
      <c r="Z813" s="97"/>
      <c r="AA813" s="99"/>
    </row>
    <row r="814" spans="1:27" s="95" customFormat="1">
      <c r="A814" s="34"/>
      <c r="B814" s="76"/>
      <c r="C814" s="76"/>
      <c r="D814" s="188"/>
      <c r="E814" s="44"/>
      <c r="F814" s="44"/>
      <c r="G814" s="44"/>
      <c r="H814" s="44"/>
      <c r="I814" s="44"/>
      <c r="J814" s="44"/>
      <c r="K814" s="44"/>
      <c r="L814" s="44"/>
      <c r="M814" s="44"/>
      <c r="N814" s="37"/>
      <c r="O814" s="38"/>
      <c r="P814" s="34"/>
      <c r="Q814" s="34"/>
      <c r="R814" s="76"/>
      <c r="S814" s="47"/>
      <c r="T814" s="42"/>
      <c r="U814" s="42"/>
      <c r="W814" s="96"/>
      <c r="X814" s="223"/>
      <c r="Y814" s="98"/>
      <c r="Z814" s="97"/>
      <c r="AA814" s="99"/>
    </row>
    <row r="815" spans="1:27" s="95" customFormat="1">
      <c r="A815" s="34"/>
      <c r="B815" s="76"/>
      <c r="C815" s="76"/>
      <c r="D815" s="188"/>
      <c r="E815" s="44"/>
      <c r="F815" s="44"/>
      <c r="G815" s="44"/>
      <c r="H815" s="44"/>
      <c r="I815" s="44"/>
      <c r="J815" s="44"/>
      <c r="K815" s="44"/>
      <c r="L815" s="44"/>
      <c r="M815" s="44"/>
      <c r="N815" s="37"/>
      <c r="O815" s="38"/>
      <c r="P815" s="34"/>
      <c r="Q815" s="39"/>
      <c r="R815" s="84"/>
      <c r="S815" s="47"/>
      <c r="T815" s="42"/>
      <c r="U815" s="42"/>
      <c r="W815" s="96"/>
      <c r="X815" s="223"/>
      <c r="Y815" s="98"/>
      <c r="Z815" s="97"/>
      <c r="AA815" s="99"/>
    </row>
    <row r="816" spans="1:27" s="95" customFormat="1">
      <c r="A816" s="34"/>
      <c r="B816" s="76"/>
      <c r="C816" s="76"/>
      <c r="D816" s="188"/>
      <c r="E816" s="44"/>
      <c r="F816" s="44"/>
      <c r="G816" s="44"/>
      <c r="H816" s="44"/>
      <c r="I816" s="44"/>
      <c r="J816" s="44"/>
      <c r="K816" s="44"/>
      <c r="L816" s="44"/>
      <c r="M816" s="44"/>
      <c r="N816" s="37"/>
      <c r="O816" s="38"/>
      <c r="P816" s="34"/>
      <c r="Q816" s="39"/>
      <c r="R816" s="84"/>
      <c r="S816" s="47"/>
      <c r="T816" s="42"/>
      <c r="U816" s="42"/>
      <c r="W816" s="96"/>
      <c r="X816" s="223"/>
      <c r="Y816" s="98"/>
      <c r="Z816" s="97"/>
      <c r="AA816" s="99"/>
    </row>
    <row r="817" spans="1:27" s="95" customFormat="1">
      <c r="A817" s="34"/>
      <c r="B817" s="76"/>
      <c r="C817" s="76"/>
      <c r="D817" s="188"/>
      <c r="E817" s="44"/>
      <c r="F817" s="44"/>
      <c r="G817" s="44"/>
      <c r="H817" s="44"/>
      <c r="I817" s="44"/>
      <c r="J817" s="44"/>
      <c r="K817" s="44"/>
      <c r="L817" s="44"/>
      <c r="M817" s="44"/>
      <c r="N817" s="37"/>
      <c r="O817" s="38"/>
      <c r="P817" s="34"/>
      <c r="Q817" s="39"/>
      <c r="R817" s="84"/>
      <c r="S817" s="47"/>
      <c r="T817" s="42"/>
      <c r="U817" s="42"/>
      <c r="W817" s="96"/>
      <c r="X817" s="223"/>
      <c r="Y817" s="98"/>
      <c r="Z817" s="97"/>
      <c r="AA817" s="99"/>
    </row>
    <row r="818" spans="1:27" s="95" customFormat="1">
      <c r="A818" s="34"/>
      <c r="B818" s="76"/>
      <c r="C818" s="76"/>
      <c r="D818" s="188"/>
      <c r="E818" s="44"/>
      <c r="F818" s="44"/>
      <c r="G818" s="44"/>
      <c r="H818" s="44"/>
      <c r="I818" s="44"/>
      <c r="J818" s="44"/>
      <c r="K818" s="44"/>
      <c r="L818" s="44"/>
      <c r="M818" s="44"/>
      <c r="N818" s="37"/>
      <c r="O818" s="38"/>
      <c r="P818" s="34"/>
      <c r="Q818" s="39"/>
      <c r="R818" s="84"/>
      <c r="S818" s="47"/>
      <c r="T818" s="42"/>
      <c r="U818" s="42"/>
      <c r="W818" s="96"/>
      <c r="X818" s="223"/>
      <c r="Y818" s="98"/>
      <c r="Z818" s="97"/>
      <c r="AA818" s="99"/>
    </row>
    <row r="819" spans="1:27" s="95" customFormat="1">
      <c r="A819" s="34"/>
      <c r="B819" s="76"/>
      <c r="C819" s="76"/>
      <c r="D819" s="188"/>
      <c r="E819" s="44"/>
      <c r="F819" s="44"/>
      <c r="G819" s="44"/>
      <c r="H819" s="44"/>
      <c r="I819" s="44"/>
      <c r="J819" s="44"/>
      <c r="K819" s="44"/>
      <c r="L819" s="44"/>
      <c r="M819" s="44"/>
      <c r="N819" s="37"/>
      <c r="O819" s="38"/>
      <c r="P819" s="34"/>
      <c r="Q819" s="39"/>
      <c r="R819" s="84"/>
      <c r="S819" s="47"/>
      <c r="T819" s="42"/>
      <c r="U819" s="42"/>
      <c r="W819" s="96"/>
      <c r="X819" s="223"/>
      <c r="Y819" s="98"/>
      <c r="Z819" s="97"/>
      <c r="AA819" s="99"/>
    </row>
    <row r="820" spans="1:27" s="95" customFormat="1">
      <c r="A820" s="34"/>
      <c r="B820" s="76"/>
      <c r="C820" s="76"/>
      <c r="D820" s="188"/>
      <c r="E820" s="44"/>
      <c r="F820" s="44"/>
      <c r="G820" s="44"/>
      <c r="H820" s="44"/>
      <c r="I820" s="44"/>
      <c r="J820" s="44"/>
      <c r="K820" s="44"/>
      <c r="L820" s="44"/>
      <c r="M820" s="44"/>
      <c r="N820" s="37"/>
      <c r="O820" s="38"/>
      <c r="P820" s="34"/>
      <c r="Q820" s="39"/>
      <c r="R820" s="84"/>
      <c r="S820" s="47"/>
      <c r="T820" s="42"/>
      <c r="U820" s="42"/>
      <c r="W820" s="96"/>
      <c r="X820" s="223"/>
      <c r="Y820" s="98"/>
      <c r="Z820" s="97"/>
      <c r="AA820" s="99"/>
    </row>
    <row r="821" spans="1:27" s="95" customFormat="1">
      <c r="A821" s="34"/>
      <c r="B821" s="76"/>
      <c r="C821" s="76"/>
      <c r="D821" s="188"/>
      <c r="E821" s="44"/>
      <c r="F821" s="44"/>
      <c r="G821" s="44"/>
      <c r="H821" s="44"/>
      <c r="I821" s="44"/>
      <c r="J821" s="44"/>
      <c r="K821" s="44"/>
      <c r="L821" s="44"/>
      <c r="M821" s="44"/>
      <c r="N821" s="37"/>
      <c r="O821" s="38"/>
      <c r="P821" s="34"/>
      <c r="Q821" s="39"/>
      <c r="R821" s="84"/>
      <c r="S821" s="47"/>
      <c r="T821" s="42"/>
      <c r="U821" s="42"/>
      <c r="W821" s="96"/>
      <c r="X821" s="223"/>
      <c r="Y821" s="98"/>
      <c r="Z821" s="97"/>
      <c r="AA821" s="99"/>
    </row>
    <row r="822" spans="1:27" s="95" customFormat="1">
      <c r="A822" s="34"/>
      <c r="B822" s="76"/>
      <c r="C822" s="76"/>
      <c r="D822" s="188"/>
      <c r="E822" s="44"/>
      <c r="F822" s="44"/>
      <c r="G822" s="44"/>
      <c r="H822" s="44"/>
      <c r="I822" s="44"/>
      <c r="J822" s="44"/>
      <c r="K822" s="44"/>
      <c r="L822" s="44"/>
      <c r="M822" s="44"/>
      <c r="N822" s="37"/>
      <c r="O822" s="38"/>
      <c r="P822" s="34"/>
      <c r="Q822" s="39"/>
      <c r="R822" s="84"/>
      <c r="S822" s="47"/>
      <c r="T822" s="42"/>
      <c r="U822" s="42"/>
      <c r="W822" s="96"/>
      <c r="X822" s="223"/>
      <c r="Y822" s="98"/>
      <c r="Z822" s="97"/>
      <c r="AA822" s="99"/>
    </row>
    <row r="823" spans="1:27" s="95" customFormat="1">
      <c r="A823" s="34"/>
      <c r="B823" s="76"/>
      <c r="C823" s="76"/>
      <c r="D823" s="188"/>
      <c r="E823" s="44"/>
      <c r="F823" s="44"/>
      <c r="G823" s="44"/>
      <c r="H823" s="44"/>
      <c r="I823" s="44"/>
      <c r="J823" s="44"/>
      <c r="K823" s="44"/>
      <c r="L823" s="44"/>
      <c r="M823" s="44"/>
      <c r="N823" s="37"/>
      <c r="O823" s="38"/>
      <c r="P823" s="34"/>
      <c r="Q823" s="39"/>
      <c r="R823" s="84"/>
      <c r="S823" s="47"/>
      <c r="T823" s="42"/>
      <c r="U823" s="42"/>
      <c r="W823" s="96"/>
      <c r="X823" s="223"/>
      <c r="Y823" s="98"/>
      <c r="Z823" s="97"/>
      <c r="AA823" s="99"/>
    </row>
    <row r="824" spans="1:27" s="95" customFormat="1">
      <c r="A824" s="34"/>
      <c r="B824" s="76"/>
      <c r="C824" s="76"/>
      <c r="D824" s="188"/>
      <c r="E824" s="44"/>
      <c r="F824" s="44"/>
      <c r="G824" s="44"/>
      <c r="H824" s="44"/>
      <c r="I824" s="44"/>
      <c r="J824" s="44"/>
      <c r="K824" s="44"/>
      <c r="L824" s="44"/>
      <c r="M824" s="44"/>
      <c r="N824" s="37"/>
      <c r="O824" s="38"/>
      <c r="P824" s="34"/>
      <c r="Q824" s="39"/>
      <c r="R824" s="84"/>
      <c r="S824" s="47"/>
      <c r="T824" s="42"/>
      <c r="U824" s="42"/>
      <c r="W824" s="96"/>
      <c r="X824" s="223"/>
      <c r="Y824" s="98"/>
      <c r="Z824" s="97"/>
      <c r="AA824" s="99"/>
    </row>
    <row r="825" spans="1:27" s="95" customFormat="1">
      <c r="A825" s="34"/>
      <c r="B825" s="76"/>
      <c r="C825" s="76"/>
      <c r="D825" s="188"/>
      <c r="E825" s="44"/>
      <c r="F825" s="44"/>
      <c r="G825" s="44"/>
      <c r="H825" s="44"/>
      <c r="I825" s="44"/>
      <c r="J825" s="44"/>
      <c r="K825" s="44"/>
      <c r="L825" s="44"/>
      <c r="M825" s="44"/>
      <c r="N825" s="37"/>
      <c r="O825" s="38"/>
      <c r="P825" s="34"/>
      <c r="Q825" s="39"/>
      <c r="R825" s="84"/>
      <c r="S825" s="47"/>
      <c r="T825" s="42"/>
      <c r="U825" s="42"/>
      <c r="W825" s="96"/>
      <c r="X825" s="223"/>
      <c r="Y825" s="98"/>
      <c r="Z825" s="97"/>
      <c r="AA825" s="99"/>
    </row>
    <row r="826" spans="1:27" s="95" customFormat="1">
      <c r="A826" s="34"/>
      <c r="B826" s="76"/>
      <c r="C826" s="76"/>
      <c r="D826" s="188"/>
      <c r="E826" s="44"/>
      <c r="F826" s="44"/>
      <c r="G826" s="44"/>
      <c r="H826" s="44"/>
      <c r="I826" s="44"/>
      <c r="J826" s="44"/>
      <c r="K826" s="44"/>
      <c r="L826" s="44"/>
      <c r="M826" s="44"/>
      <c r="N826" s="37"/>
      <c r="O826" s="38"/>
      <c r="P826" s="34"/>
      <c r="Q826" s="39"/>
      <c r="R826" s="84"/>
      <c r="S826" s="47"/>
      <c r="T826" s="42"/>
      <c r="U826" s="42"/>
      <c r="W826" s="96"/>
      <c r="X826" s="223"/>
      <c r="Y826" s="98"/>
      <c r="Z826" s="97"/>
      <c r="AA826" s="99"/>
    </row>
    <row r="827" spans="1:27" s="95" customFormat="1">
      <c r="A827" s="34"/>
      <c r="B827" s="76"/>
      <c r="C827" s="76"/>
      <c r="D827" s="188"/>
      <c r="E827" s="44"/>
      <c r="F827" s="44"/>
      <c r="G827" s="44"/>
      <c r="H827" s="44"/>
      <c r="I827" s="44"/>
      <c r="J827" s="44"/>
      <c r="K827" s="44"/>
      <c r="L827" s="44"/>
      <c r="M827" s="44"/>
      <c r="N827" s="37"/>
      <c r="O827" s="38"/>
      <c r="P827" s="34"/>
      <c r="Q827" s="39"/>
      <c r="R827" s="84"/>
      <c r="S827" s="47"/>
      <c r="T827" s="42"/>
      <c r="U827" s="42"/>
      <c r="W827" s="96"/>
      <c r="X827" s="223"/>
      <c r="Y827" s="98"/>
      <c r="Z827" s="97"/>
      <c r="AA827" s="99"/>
    </row>
    <row r="828" spans="1:27" s="95" customFormat="1">
      <c r="A828" s="34"/>
      <c r="B828" s="76"/>
      <c r="C828" s="76"/>
      <c r="D828" s="188"/>
      <c r="E828" s="44"/>
      <c r="F828" s="44"/>
      <c r="G828" s="44"/>
      <c r="H828" s="44"/>
      <c r="I828" s="44"/>
      <c r="J828" s="44"/>
      <c r="K828" s="44"/>
      <c r="L828" s="44"/>
      <c r="M828" s="44"/>
      <c r="N828" s="37"/>
      <c r="O828" s="38"/>
      <c r="P828" s="34"/>
      <c r="Q828" s="39"/>
      <c r="R828" s="84"/>
      <c r="S828" s="47"/>
      <c r="T828" s="42"/>
      <c r="U828" s="42"/>
      <c r="W828" s="96"/>
      <c r="X828" s="223"/>
      <c r="Y828" s="98"/>
      <c r="Z828" s="97"/>
      <c r="AA828" s="99"/>
    </row>
    <row r="829" spans="1:27" s="95" customFormat="1">
      <c r="A829" s="34"/>
      <c r="B829" s="76"/>
      <c r="C829" s="76"/>
      <c r="D829" s="188"/>
      <c r="E829" s="44"/>
      <c r="F829" s="44"/>
      <c r="G829" s="44"/>
      <c r="H829" s="44"/>
      <c r="I829" s="44"/>
      <c r="J829" s="44"/>
      <c r="K829" s="44"/>
      <c r="L829" s="44"/>
      <c r="M829" s="44"/>
      <c r="N829" s="37"/>
      <c r="O829" s="38"/>
      <c r="P829" s="34"/>
      <c r="Q829" s="39"/>
      <c r="R829" s="84"/>
      <c r="S829" s="47"/>
      <c r="T829" s="42"/>
      <c r="U829" s="42"/>
      <c r="W829" s="96"/>
      <c r="X829" s="223"/>
      <c r="Y829" s="98"/>
      <c r="Z829" s="97"/>
      <c r="AA829" s="99"/>
    </row>
    <row r="830" spans="1:27" s="95" customFormat="1">
      <c r="A830" s="34"/>
      <c r="B830" s="76"/>
      <c r="C830" s="76"/>
      <c r="D830" s="188"/>
      <c r="E830" s="44"/>
      <c r="F830" s="44"/>
      <c r="G830" s="44"/>
      <c r="H830" s="44"/>
      <c r="I830" s="44"/>
      <c r="J830" s="44"/>
      <c r="K830" s="44"/>
      <c r="L830" s="44"/>
      <c r="M830" s="44"/>
      <c r="N830" s="37"/>
      <c r="O830" s="38"/>
      <c r="P830" s="34"/>
      <c r="Q830" s="39"/>
      <c r="R830" s="84"/>
      <c r="S830" s="47"/>
      <c r="T830" s="42"/>
      <c r="U830" s="42"/>
      <c r="W830" s="96"/>
      <c r="X830" s="223"/>
      <c r="Y830" s="98"/>
      <c r="Z830" s="97"/>
      <c r="AA830" s="99"/>
    </row>
    <row r="831" spans="1:27" s="95" customFormat="1">
      <c r="A831" s="34"/>
      <c r="B831" s="76"/>
      <c r="C831" s="76"/>
      <c r="D831" s="188"/>
      <c r="E831" s="44"/>
      <c r="F831" s="44"/>
      <c r="G831" s="44"/>
      <c r="H831" s="44"/>
      <c r="I831" s="44"/>
      <c r="J831" s="44"/>
      <c r="K831" s="44"/>
      <c r="L831" s="44"/>
      <c r="M831" s="44"/>
      <c r="N831" s="37"/>
      <c r="O831" s="38"/>
      <c r="P831" s="34"/>
      <c r="Q831" s="39"/>
      <c r="R831" s="84"/>
      <c r="S831" s="47"/>
      <c r="T831" s="42"/>
      <c r="U831" s="42"/>
      <c r="W831" s="96"/>
      <c r="X831" s="223"/>
      <c r="Y831" s="98"/>
      <c r="Z831" s="97"/>
      <c r="AA831" s="99"/>
    </row>
    <row r="832" spans="1:27" s="95" customFormat="1">
      <c r="A832" s="34"/>
      <c r="B832" s="76"/>
      <c r="C832" s="76"/>
      <c r="D832" s="188"/>
      <c r="E832" s="44"/>
      <c r="F832" s="44"/>
      <c r="G832" s="44"/>
      <c r="H832" s="44"/>
      <c r="I832" s="44"/>
      <c r="J832" s="44"/>
      <c r="K832" s="44"/>
      <c r="L832" s="44"/>
      <c r="M832" s="44"/>
      <c r="N832" s="37"/>
      <c r="O832" s="38"/>
      <c r="P832" s="34"/>
      <c r="Q832" s="39"/>
      <c r="R832" s="84"/>
      <c r="S832" s="47"/>
      <c r="T832" s="42"/>
      <c r="U832" s="42"/>
      <c r="W832" s="96"/>
      <c r="X832" s="223"/>
      <c r="Y832" s="98"/>
      <c r="Z832" s="97"/>
      <c r="AA832" s="99"/>
    </row>
    <row r="833" spans="1:27" s="95" customFormat="1">
      <c r="A833" s="34"/>
      <c r="B833" s="76"/>
      <c r="C833" s="76"/>
      <c r="D833" s="188"/>
      <c r="E833" s="44"/>
      <c r="F833" s="44"/>
      <c r="G833" s="44"/>
      <c r="H833" s="44"/>
      <c r="I833" s="44"/>
      <c r="J833" s="44"/>
      <c r="K833" s="44"/>
      <c r="L833" s="44"/>
      <c r="M833" s="44"/>
      <c r="N833" s="37"/>
      <c r="O833" s="38"/>
      <c r="P833" s="34"/>
      <c r="Q833" s="39"/>
      <c r="R833" s="84"/>
      <c r="S833" s="47"/>
      <c r="T833" s="42"/>
      <c r="U833" s="42"/>
      <c r="W833" s="96"/>
      <c r="X833" s="223"/>
      <c r="Y833" s="98"/>
      <c r="Z833" s="97"/>
      <c r="AA833" s="99"/>
    </row>
    <row r="834" spans="1:27" s="95" customFormat="1">
      <c r="A834" s="34"/>
      <c r="B834" s="76"/>
      <c r="C834" s="76"/>
      <c r="D834" s="188"/>
      <c r="E834" s="44"/>
      <c r="F834" s="44"/>
      <c r="G834" s="44"/>
      <c r="H834" s="44"/>
      <c r="I834" s="44"/>
      <c r="J834" s="44"/>
      <c r="K834" s="44"/>
      <c r="L834" s="44"/>
      <c r="M834" s="44"/>
      <c r="N834" s="37"/>
      <c r="O834" s="38"/>
      <c r="P834" s="34"/>
      <c r="Q834" s="39"/>
      <c r="R834" s="84"/>
      <c r="S834" s="47"/>
      <c r="T834" s="42"/>
      <c r="U834" s="42"/>
      <c r="W834" s="96"/>
      <c r="X834" s="223"/>
      <c r="Y834" s="98"/>
      <c r="Z834" s="97"/>
      <c r="AA834" s="99"/>
    </row>
    <row r="835" spans="1:27" s="95" customFormat="1">
      <c r="A835" s="34"/>
      <c r="B835" s="76"/>
      <c r="C835" s="76"/>
      <c r="D835" s="188"/>
      <c r="E835" s="44"/>
      <c r="F835" s="44"/>
      <c r="G835" s="44"/>
      <c r="H835" s="44"/>
      <c r="I835" s="44"/>
      <c r="J835" s="44"/>
      <c r="K835" s="44"/>
      <c r="L835" s="44"/>
      <c r="M835" s="44"/>
      <c r="N835" s="37"/>
      <c r="O835" s="38"/>
      <c r="P835" s="34"/>
      <c r="Q835" s="39"/>
      <c r="R835" s="84"/>
      <c r="S835" s="47"/>
      <c r="T835" s="42"/>
      <c r="U835" s="42"/>
      <c r="W835" s="96"/>
      <c r="X835" s="223"/>
      <c r="Y835" s="98"/>
      <c r="Z835" s="97"/>
      <c r="AA835" s="99"/>
    </row>
    <row r="836" spans="1:27" s="95" customFormat="1">
      <c r="A836" s="34"/>
      <c r="B836" s="76"/>
      <c r="C836" s="76"/>
      <c r="D836" s="188"/>
      <c r="E836" s="44"/>
      <c r="F836" s="44"/>
      <c r="G836" s="44"/>
      <c r="H836" s="44"/>
      <c r="I836" s="44"/>
      <c r="J836" s="44"/>
      <c r="K836" s="44"/>
      <c r="L836" s="44"/>
      <c r="M836" s="44"/>
      <c r="N836" s="37"/>
      <c r="O836" s="38"/>
      <c r="P836" s="34"/>
      <c r="Q836" s="39"/>
      <c r="R836" s="84"/>
      <c r="S836" s="47"/>
      <c r="T836" s="42"/>
      <c r="U836" s="42"/>
      <c r="W836" s="96"/>
      <c r="X836" s="223"/>
      <c r="Y836" s="98"/>
      <c r="Z836" s="97"/>
      <c r="AA836" s="99"/>
    </row>
    <row r="837" spans="1:27" s="95" customFormat="1">
      <c r="A837" s="34"/>
      <c r="B837" s="76"/>
      <c r="C837" s="76"/>
      <c r="D837" s="188"/>
      <c r="E837" s="44"/>
      <c r="F837" s="44"/>
      <c r="G837" s="44"/>
      <c r="H837" s="44"/>
      <c r="I837" s="44"/>
      <c r="J837" s="44"/>
      <c r="K837" s="44"/>
      <c r="L837" s="44"/>
      <c r="M837" s="44"/>
      <c r="N837" s="37"/>
      <c r="O837" s="38"/>
      <c r="P837" s="34"/>
      <c r="Q837" s="39"/>
      <c r="R837" s="84"/>
      <c r="S837" s="47"/>
      <c r="T837" s="42"/>
      <c r="U837" s="42"/>
      <c r="W837" s="96"/>
      <c r="X837" s="223"/>
      <c r="Y837" s="98"/>
      <c r="Z837" s="97"/>
      <c r="AA837" s="99"/>
    </row>
    <row r="838" spans="1:27" s="95" customFormat="1">
      <c r="A838" s="34"/>
      <c r="B838" s="76"/>
      <c r="C838" s="76"/>
      <c r="D838" s="188"/>
      <c r="E838" s="44"/>
      <c r="F838" s="44"/>
      <c r="G838" s="44"/>
      <c r="H838" s="44"/>
      <c r="I838" s="44"/>
      <c r="J838" s="44"/>
      <c r="K838" s="44"/>
      <c r="L838" s="44"/>
      <c r="M838" s="44"/>
      <c r="N838" s="37"/>
      <c r="O838" s="38"/>
      <c r="P838" s="34"/>
      <c r="Q838" s="39"/>
      <c r="R838" s="84"/>
      <c r="S838" s="47"/>
      <c r="T838" s="42"/>
      <c r="U838" s="42"/>
      <c r="W838" s="96"/>
      <c r="X838" s="223"/>
      <c r="Y838" s="98"/>
      <c r="Z838" s="97"/>
      <c r="AA838" s="99"/>
    </row>
    <row r="839" spans="1:27" s="95" customFormat="1">
      <c r="A839" s="34"/>
      <c r="B839" s="76"/>
      <c r="C839" s="76"/>
      <c r="D839" s="188"/>
      <c r="E839" s="44"/>
      <c r="F839" s="44"/>
      <c r="G839" s="44"/>
      <c r="H839" s="44"/>
      <c r="I839" s="44"/>
      <c r="J839" s="44"/>
      <c r="K839" s="44"/>
      <c r="L839" s="44"/>
      <c r="M839" s="44"/>
      <c r="N839" s="37"/>
      <c r="O839" s="38"/>
      <c r="P839" s="34"/>
      <c r="Q839" s="39"/>
      <c r="R839" s="84"/>
      <c r="S839" s="47"/>
      <c r="T839" s="42"/>
      <c r="U839" s="42"/>
      <c r="W839" s="96"/>
      <c r="X839" s="223"/>
      <c r="Y839" s="98"/>
      <c r="Z839" s="97"/>
      <c r="AA839" s="99"/>
    </row>
    <row r="840" spans="1:27" s="95" customFormat="1">
      <c r="A840" s="34"/>
      <c r="B840" s="76"/>
      <c r="C840" s="76"/>
      <c r="D840" s="188"/>
      <c r="E840" s="44"/>
      <c r="F840" s="44"/>
      <c r="G840" s="44"/>
      <c r="H840" s="44"/>
      <c r="I840" s="44"/>
      <c r="J840" s="44"/>
      <c r="K840" s="44"/>
      <c r="L840" s="44"/>
      <c r="M840" s="44"/>
      <c r="N840" s="37"/>
      <c r="O840" s="38"/>
      <c r="P840" s="34"/>
      <c r="Q840" s="39"/>
      <c r="R840" s="84"/>
      <c r="S840" s="47"/>
      <c r="T840" s="42"/>
      <c r="U840" s="42"/>
      <c r="W840" s="96"/>
      <c r="X840" s="223"/>
      <c r="Y840" s="98"/>
      <c r="Z840" s="97"/>
      <c r="AA840" s="99"/>
    </row>
    <row r="841" spans="1:27" s="95" customFormat="1">
      <c r="A841" s="34"/>
      <c r="B841" s="76"/>
      <c r="C841" s="76"/>
      <c r="D841" s="188"/>
      <c r="E841" s="44"/>
      <c r="F841" s="44"/>
      <c r="G841" s="44"/>
      <c r="H841" s="44"/>
      <c r="I841" s="44"/>
      <c r="J841" s="44"/>
      <c r="K841" s="44"/>
      <c r="L841" s="44"/>
      <c r="M841" s="44"/>
      <c r="N841" s="37"/>
      <c r="O841" s="38"/>
      <c r="P841" s="34"/>
      <c r="Q841" s="39"/>
      <c r="R841" s="84"/>
      <c r="S841" s="47"/>
      <c r="T841" s="42"/>
      <c r="U841" s="42"/>
      <c r="W841" s="96"/>
      <c r="X841" s="223"/>
      <c r="Y841" s="98"/>
      <c r="Z841" s="97"/>
      <c r="AA841" s="99"/>
    </row>
    <row r="842" spans="1:27" s="95" customFormat="1">
      <c r="A842" s="34"/>
      <c r="B842" s="76"/>
      <c r="C842" s="76"/>
      <c r="D842" s="188"/>
      <c r="E842" s="44"/>
      <c r="F842" s="44"/>
      <c r="G842" s="44"/>
      <c r="H842" s="44"/>
      <c r="I842" s="44"/>
      <c r="J842" s="44"/>
      <c r="K842" s="44"/>
      <c r="L842" s="44"/>
      <c r="M842" s="44"/>
      <c r="N842" s="37"/>
      <c r="O842" s="38"/>
      <c r="P842" s="34"/>
      <c r="Q842" s="34"/>
      <c r="R842" s="76"/>
      <c r="S842" s="47"/>
      <c r="T842" s="42"/>
      <c r="U842" s="42"/>
      <c r="W842" s="96"/>
      <c r="X842" s="223"/>
      <c r="Y842" s="98"/>
      <c r="Z842" s="97"/>
      <c r="AA842" s="99"/>
    </row>
    <row r="843" spans="1:27" s="95" customFormat="1">
      <c r="A843" s="34"/>
      <c r="B843" s="76"/>
      <c r="C843" s="76"/>
      <c r="D843" s="188"/>
      <c r="E843" s="44"/>
      <c r="F843" s="44"/>
      <c r="G843" s="44"/>
      <c r="H843" s="44"/>
      <c r="I843" s="44"/>
      <c r="J843" s="44"/>
      <c r="K843" s="44"/>
      <c r="L843" s="44"/>
      <c r="M843" s="44"/>
      <c r="N843" s="37"/>
      <c r="O843" s="38"/>
      <c r="P843" s="34"/>
      <c r="Q843" s="34"/>
      <c r="R843" s="76"/>
      <c r="S843" s="47"/>
      <c r="T843" s="42"/>
      <c r="U843" s="42"/>
      <c r="W843" s="96"/>
      <c r="X843" s="223"/>
      <c r="Y843" s="98"/>
      <c r="Z843" s="97"/>
      <c r="AA843" s="99"/>
    </row>
    <row r="844" spans="1:27" s="95" customFormat="1">
      <c r="A844" s="34"/>
      <c r="B844" s="76"/>
      <c r="C844" s="76"/>
      <c r="D844" s="188"/>
      <c r="E844" s="44"/>
      <c r="F844" s="44"/>
      <c r="G844" s="44"/>
      <c r="H844" s="44"/>
      <c r="I844" s="44"/>
      <c r="J844" s="44"/>
      <c r="K844" s="44"/>
      <c r="L844" s="44"/>
      <c r="M844" s="44"/>
      <c r="N844" s="37"/>
      <c r="O844" s="38"/>
      <c r="P844" s="34"/>
      <c r="Q844" s="34"/>
      <c r="R844" s="76"/>
      <c r="S844" s="47"/>
      <c r="T844" s="42"/>
      <c r="U844" s="42"/>
      <c r="W844" s="96"/>
      <c r="X844" s="223"/>
      <c r="Y844" s="98"/>
      <c r="Z844" s="97"/>
      <c r="AA844" s="99"/>
    </row>
    <row r="845" spans="1:27" s="95" customFormat="1">
      <c r="A845" s="34"/>
      <c r="B845" s="76"/>
      <c r="C845" s="76"/>
      <c r="D845" s="188"/>
      <c r="E845" s="44"/>
      <c r="F845" s="44"/>
      <c r="G845" s="44"/>
      <c r="H845" s="44"/>
      <c r="I845" s="44"/>
      <c r="J845" s="44"/>
      <c r="K845" s="44"/>
      <c r="L845" s="44"/>
      <c r="M845" s="44"/>
      <c r="N845" s="37"/>
      <c r="O845" s="38"/>
      <c r="P845" s="34"/>
      <c r="Q845" s="34"/>
      <c r="R845" s="76"/>
      <c r="S845" s="47"/>
      <c r="T845" s="42"/>
      <c r="U845" s="42"/>
      <c r="W845" s="96"/>
      <c r="X845" s="223"/>
      <c r="Y845" s="98"/>
      <c r="Z845" s="97"/>
      <c r="AA845" s="99"/>
    </row>
    <row r="846" spans="1:27" s="95" customFormat="1">
      <c r="A846" s="34"/>
      <c r="B846" s="76"/>
      <c r="C846" s="76"/>
      <c r="D846" s="188"/>
      <c r="E846" s="44"/>
      <c r="F846" s="44"/>
      <c r="G846" s="44"/>
      <c r="H846" s="44"/>
      <c r="I846" s="44"/>
      <c r="J846" s="44"/>
      <c r="K846" s="44"/>
      <c r="L846" s="44"/>
      <c r="M846" s="44"/>
      <c r="N846" s="37"/>
      <c r="O846" s="38"/>
      <c r="P846" s="34"/>
      <c r="Q846" s="34"/>
      <c r="R846" s="76"/>
      <c r="S846" s="47"/>
      <c r="T846" s="42"/>
      <c r="U846" s="42"/>
      <c r="W846" s="96"/>
      <c r="X846" s="223"/>
      <c r="Y846" s="98"/>
      <c r="Z846" s="97"/>
      <c r="AA846" s="99"/>
    </row>
    <row r="847" spans="1:27" s="95" customFormat="1">
      <c r="A847" s="34"/>
      <c r="B847" s="76"/>
      <c r="C847" s="76"/>
      <c r="D847" s="188"/>
      <c r="E847" s="44"/>
      <c r="F847" s="44"/>
      <c r="G847" s="44"/>
      <c r="H847" s="44"/>
      <c r="I847" s="44"/>
      <c r="J847" s="44"/>
      <c r="K847" s="44"/>
      <c r="L847" s="44"/>
      <c r="M847" s="44"/>
      <c r="N847" s="37"/>
      <c r="O847" s="38"/>
      <c r="P847" s="34"/>
      <c r="Q847" s="34"/>
      <c r="R847" s="76"/>
      <c r="S847" s="47"/>
      <c r="T847" s="42"/>
      <c r="U847" s="42"/>
      <c r="W847" s="96"/>
      <c r="X847" s="223"/>
      <c r="Y847" s="98"/>
      <c r="Z847" s="97"/>
      <c r="AA847" s="99"/>
    </row>
    <row r="848" spans="1:27" s="95" customFormat="1">
      <c r="A848" s="34"/>
      <c r="B848" s="76"/>
      <c r="C848" s="76"/>
      <c r="D848" s="188"/>
      <c r="E848" s="44"/>
      <c r="F848" s="44"/>
      <c r="G848" s="44"/>
      <c r="H848" s="44"/>
      <c r="I848" s="44"/>
      <c r="J848" s="44"/>
      <c r="K848" s="44"/>
      <c r="L848" s="44"/>
      <c r="M848" s="44"/>
      <c r="N848" s="37"/>
      <c r="O848" s="38"/>
      <c r="P848" s="34"/>
      <c r="Q848" s="34"/>
      <c r="R848" s="76"/>
      <c r="S848" s="47"/>
      <c r="T848" s="42"/>
      <c r="U848" s="42"/>
      <c r="W848" s="96"/>
      <c r="X848" s="223"/>
      <c r="Y848" s="98"/>
      <c r="Z848" s="97"/>
      <c r="AA848" s="99"/>
    </row>
    <row r="849" spans="1:27" s="95" customFormat="1">
      <c r="A849" s="34"/>
      <c r="B849" s="76"/>
      <c r="C849" s="76"/>
      <c r="D849" s="188"/>
      <c r="E849" s="44"/>
      <c r="F849" s="44"/>
      <c r="G849" s="44"/>
      <c r="H849" s="44"/>
      <c r="I849" s="44"/>
      <c r="J849" s="44"/>
      <c r="K849" s="44"/>
      <c r="L849" s="44"/>
      <c r="M849" s="44"/>
      <c r="N849" s="37"/>
      <c r="O849" s="38"/>
      <c r="P849" s="34"/>
      <c r="Q849" s="34"/>
      <c r="R849" s="76"/>
      <c r="S849" s="47"/>
      <c r="T849" s="42"/>
      <c r="U849" s="42"/>
      <c r="W849" s="96"/>
      <c r="X849" s="223"/>
      <c r="Y849" s="98"/>
      <c r="Z849" s="97"/>
      <c r="AA849" s="99"/>
    </row>
    <row r="850" spans="1:27" s="95" customFormat="1">
      <c r="A850" s="34"/>
      <c r="B850" s="76"/>
      <c r="C850" s="76"/>
      <c r="D850" s="188"/>
      <c r="E850" s="44"/>
      <c r="F850" s="44"/>
      <c r="G850" s="44"/>
      <c r="H850" s="44"/>
      <c r="I850" s="44"/>
      <c r="J850" s="44"/>
      <c r="K850" s="44"/>
      <c r="L850" s="44"/>
      <c r="M850" s="44"/>
      <c r="N850" s="37"/>
      <c r="O850" s="38"/>
      <c r="P850" s="34"/>
      <c r="Q850" s="34"/>
      <c r="R850" s="76"/>
      <c r="S850" s="47"/>
      <c r="T850" s="42"/>
      <c r="U850" s="42"/>
      <c r="W850" s="96"/>
      <c r="X850" s="223"/>
      <c r="Y850" s="98"/>
      <c r="Z850" s="97"/>
      <c r="AA850" s="99"/>
    </row>
    <row r="851" spans="1:27" s="95" customFormat="1">
      <c r="A851" s="34"/>
      <c r="B851" s="76"/>
      <c r="C851" s="76"/>
      <c r="D851" s="188"/>
      <c r="E851" s="44"/>
      <c r="F851" s="44"/>
      <c r="G851" s="44"/>
      <c r="H851" s="44"/>
      <c r="I851" s="44"/>
      <c r="J851" s="44"/>
      <c r="K851" s="44"/>
      <c r="L851" s="44"/>
      <c r="M851" s="44"/>
      <c r="N851" s="37"/>
      <c r="O851" s="38"/>
      <c r="P851" s="34"/>
      <c r="Q851" s="34"/>
      <c r="R851" s="76"/>
      <c r="S851" s="47"/>
      <c r="T851" s="42"/>
      <c r="U851" s="42"/>
      <c r="W851" s="96"/>
      <c r="X851" s="223"/>
      <c r="Y851" s="98"/>
      <c r="Z851" s="97"/>
      <c r="AA851" s="99"/>
    </row>
    <row r="852" spans="1:27" s="95" customFormat="1">
      <c r="A852" s="34"/>
      <c r="B852" s="76"/>
      <c r="C852" s="76"/>
      <c r="D852" s="188"/>
      <c r="E852" s="44"/>
      <c r="F852" s="44"/>
      <c r="G852" s="44"/>
      <c r="H852" s="44"/>
      <c r="I852" s="44"/>
      <c r="J852" s="44"/>
      <c r="K852" s="44"/>
      <c r="L852" s="44"/>
      <c r="M852" s="44"/>
      <c r="N852" s="37"/>
      <c r="O852" s="38"/>
      <c r="P852" s="34"/>
      <c r="Q852" s="34"/>
      <c r="R852" s="76"/>
      <c r="S852" s="47"/>
      <c r="T852" s="42"/>
      <c r="U852" s="42"/>
      <c r="W852" s="96"/>
      <c r="X852" s="223"/>
      <c r="Y852" s="98"/>
      <c r="Z852" s="97"/>
      <c r="AA852" s="99"/>
    </row>
    <row r="853" spans="1:27" s="95" customFormat="1">
      <c r="A853" s="34"/>
      <c r="B853" s="76"/>
      <c r="C853" s="76"/>
      <c r="D853" s="188"/>
      <c r="E853" s="44"/>
      <c r="F853" s="44"/>
      <c r="G853" s="44"/>
      <c r="H853" s="44"/>
      <c r="I853" s="44"/>
      <c r="J853" s="44"/>
      <c r="K853" s="44"/>
      <c r="L853" s="44"/>
      <c r="M853" s="44"/>
      <c r="N853" s="37"/>
      <c r="O853" s="38"/>
      <c r="P853" s="34"/>
      <c r="Q853" s="34"/>
      <c r="R853" s="76"/>
      <c r="S853" s="47"/>
      <c r="T853" s="42"/>
      <c r="U853" s="42"/>
      <c r="W853" s="96"/>
      <c r="X853" s="223"/>
      <c r="Y853" s="98"/>
      <c r="Z853" s="97"/>
      <c r="AA853" s="99"/>
    </row>
    <row r="854" spans="1:27" s="95" customFormat="1">
      <c r="A854" s="34"/>
      <c r="B854" s="76"/>
      <c r="C854" s="76"/>
      <c r="D854" s="188"/>
      <c r="E854" s="44"/>
      <c r="F854" s="44"/>
      <c r="G854" s="44"/>
      <c r="H854" s="44"/>
      <c r="I854" s="44"/>
      <c r="J854" s="44"/>
      <c r="K854" s="44"/>
      <c r="L854" s="44"/>
      <c r="M854" s="44"/>
      <c r="N854" s="37"/>
      <c r="O854" s="38"/>
      <c r="P854" s="34"/>
      <c r="Q854" s="34"/>
      <c r="R854" s="76"/>
      <c r="S854" s="47"/>
      <c r="T854" s="42"/>
      <c r="U854" s="42"/>
      <c r="W854" s="96"/>
      <c r="X854" s="223"/>
      <c r="Y854" s="98"/>
      <c r="Z854" s="97"/>
      <c r="AA854" s="99"/>
    </row>
    <row r="855" spans="1:27" s="95" customFormat="1">
      <c r="A855" s="34"/>
      <c r="B855" s="76"/>
      <c r="C855" s="76"/>
      <c r="D855" s="188"/>
      <c r="E855" s="44"/>
      <c r="F855" s="44"/>
      <c r="G855" s="44"/>
      <c r="H855" s="44"/>
      <c r="I855" s="44"/>
      <c r="J855" s="44"/>
      <c r="K855" s="44"/>
      <c r="L855" s="44"/>
      <c r="M855" s="44"/>
      <c r="N855" s="37"/>
      <c r="O855" s="38"/>
      <c r="P855" s="34"/>
      <c r="Q855" s="34"/>
      <c r="R855" s="76"/>
      <c r="S855" s="47"/>
      <c r="T855" s="42"/>
      <c r="U855" s="42"/>
      <c r="W855" s="96"/>
      <c r="X855" s="223"/>
      <c r="Y855" s="98"/>
      <c r="Z855" s="97"/>
      <c r="AA855" s="99"/>
    </row>
    <row r="856" spans="1:27" s="95" customFormat="1">
      <c r="A856" s="34"/>
      <c r="B856" s="76"/>
      <c r="C856" s="76"/>
      <c r="D856" s="188"/>
      <c r="E856" s="44"/>
      <c r="F856" s="44"/>
      <c r="G856" s="44"/>
      <c r="H856" s="44"/>
      <c r="I856" s="44"/>
      <c r="J856" s="44"/>
      <c r="K856" s="44"/>
      <c r="L856" s="44"/>
      <c r="M856" s="44"/>
      <c r="N856" s="37"/>
      <c r="O856" s="38"/>
      <c r="P856" s="34"/>
      <c r="Q856" s="34"/>
      <c r="R856" s="76"/>
      <c r="S856" s="47"/>
      <c r="T856" s="42"/>
      <c r="U856" s="42"/>
      <c r="W856" s="96"/>
      <c r="X856" s="223"/>
      <c r="Y856" s="98"/>
      <c r="Z856" s="97"/>
      <c r="AA856" s="99"/>
    </row>
    <row r="857" spans="1:27" s="95" customFormat="1">
      <c r="A857" s="34"/>
      <c r="B857" s="76"/>
      <c r="C857" s="76"/>
      <c r="D857" s="188"/>
      <c r="E857" s="44"/>
      <c r="F857" s="44"/>
      <c r="G857" s="44"/>
      <c r="H857" s="44"/>
      <c r="I857" s="44"/>
      <c r="J857" s="44"/>
      <c r="K857" s="44"/>
      <c r="L857" s="44"/>
      <c r="M857" s="44"/>
      <c r="N857" s="37"/>
      <c r="O857" s="38"/>
      <c r="P857" s="34"/>
      <c r="Q857" s="39"/>
      <c r="R857" s="84"/>
      <c r="S857" s="47"/>
      <c r="T857" s="42"/>
      <c r="U857" s="42"/>
      <c r="W857" s="96"/>
      <c r="X857" s="223"/>
      <c r="Y857" s="98"/>
      <c r="Z857" s="97"/>
      <c r="AA857" s="99"/>
    </row>
    <row r="858" spans="1:27" s="95" customFormat="1">
      <c r="A858" s="34"/>
      <c r="B858" s="76"/>
      <c r="C858" s="76"/>
      <c r="D858" s="188"/>
      <c r="E858" s="44"/>
      <c r="F858" s="44"/>
      <c r="G858" s="44"/>
      <c r="H858" s="44"/>
      <c r="I858" s="44"/>
      <c r="J858" s="44"/>
      <c r="K858" s="44"/>
      <c r="L858" s="44"/>
      <c r="M858" s="44"/>
      <c r="N858" s="37"/>
      <c r="O858" s="38"/>
      <c r="P858" s="34"/>
      <c r="Q858" s="39"/>
      <c r="R858" s="84"/>
      <c r="S858" s="47"/>
      <c r="T858" s="42"/>
      <c r="U858" s="42"/>
      <c r="W858" s="96"/>
      <c r="X858" s="223"/>
      <c r="Y858" s="98"/>
      <c r="Z858" s="97"/>
      <c r="AA858" s="99"/>
    </row>
    <row r="859" spans="1:27" s="95" customFormat="1">
      <c r="A859" s="34"/>
      <c r="B859" s="76"/>
      <c r="C859" s="76"/>
      <c r="D859" s="188"/>
      <c r="E859" s="44"/>
      <c r="F859" s="44"/>
      <c r="G859" s="44"/>
      <c r="H859" s="44"/>
      <c r="I859" s="44"/>
      <c r="J859" s="44"/>
      <c r="K859" s="44"/>
      <c r="L859" s="44"/>
      <c r="M859" s="44"/>
      <c r="N859" s="37"/>
      <c r="O859" s="38"/>
      <c r="P859" s="34"/>
      <c r="Q859" s="39"/>
      <c r="R859" s="84"/>
      <c r="S859" s="47"/>
      <c r="T859" s="42"/>
      <c r="U859" s="42"/>
      <c r="W859" s="96"/>
      <c r="X859" s="223"/>
      <c r="Y859" s="98"/>
      <c r="Z859" s="97"/>
      <c r="AA859" s="99"/>
    </row>
    <row r="860" spans="1:27" s="95" customFormat="1">
      <c r="A860" s="34"/>
      <c r="B860" s="76"/>
      <c r="C860" s="76"/>
      <c r="D860" s="188"/>
      <c r="E860" s="44"/>
      <c r="F860" s="44"/>
      <c r="G860" s="44"/>
      <c r="H860" s="44"/>
      <c r="I860" s="44"/>
      <c r="J860" s="44"/>
      <c r="K860" s="44"/>
      <c r="L860" s="44"/>
      <c r="M860" s="44"/>
      <c r="N860" s="37"/>
      <c r="O860" s="38"/>
      <c r="P860" s="34"/>
      <c r="Q860" s="39"/>
      <c r="R860" s="84"/>
      <c r="S860" s="47"/>
      <c r="T860" s="42"/>
      <c r="U860" s="42"/>
      <c r="W860" s="96"/>
      <c r="X860" s="223"/>
      <c r="Y860" s="98"/>
      <c r="Z860" s="97"/>
      <c r="AA860" s="99"/>
    </row>
    <row r="861" spans="1:27" s="95" customFormat="1">
      <c r="A861" s="34"/>
      <c r="B861" s="76"/>
      <c r="C861" s="76"/>
      <c r="D861" s="188"/>
      <c r="E861" s="44"/>
      <c r="F861" s="44"/>
      <c r="G861" s="44"/>
      <c r="H861" s="44"/>
      <c r="I861" s="44"/>
      <c r="J861" s="44"/>
      <c r="K861" s="44"/>
      <c r="L861" s="44"/>
      <c r="M861" s="44"/>
      <c r="N861" s="37"/>
      <c r="O861" s="38"/>
      <c r="P861" s="34"/>
      <c r="Q861" s="39"/>
      <c r="R861" s="84"/>
      <c r="S861" s="47"/>
      <c r="T861" s="42"/>
      <c r="U861" s="42"/>
      <c r="W861" s="96"/>
      <c r="X861" s="223"/>
      <c r="Y861" s="98"/>
      <c r="Z861" s="97"/>
      <c r="AA861" s="99"/>
    </row>
    <row r="862" spans="1:27" s="95" customFormat="1">
      <c r="A862" s="34"/>
      <c r="B862" s="76"/>
      <c r="C862" s="76"/>
      <c r="D862" s="188"/>
      <c r="E862" s="44"/>
      <c r="F862" s="44"/>
      <c r="G862" s="44"/>
      <c r="H862" s="44"/>
      <c r="I862" s="44"/>
      <c r="J862" s="44"/>
      <c r="K862" s="44"/>
      <c r="L862" s="44"/>
      <c r="M862" s="44"/>
      <c r="N862" s="37"/>
      <c r="O862" s="38"/>
      <c r="P862" s="34"/>
      <c r="Q862" s="39"/>
      <c r="R862" s="84"/>
      <c r="S862" s="47"/>
      <c r="T862" s="42"/>
      <c r="U862" s="42"/>
      <c r="W862" s="96"/>
      <c r="X862" s="223"/>
      <c r="Y862" s="98"/>
      <c r="Z862" s="97"/>
      <c r="AA862" s="99"/>
    </row>
    <row r="863" spans="1:27" s="95" customFormat="1">
      <c r="A863" s="34"/>
      <c r="B863" s="76"/>
      <c r="C863" s="76"/>
      <c r="D863" s="188"/>
      <c r="E863" s="44"/>
      <c r="F863" s="44"/>
      <c r="G863" s="44"/>
      <c r="H863" s="44"/>
      <c r="I863" s="44"/>
      <c r="J863" s="44"/>
      <c r="K863" s="44"/>
      <c r="L863" s="44"/>
      <c r="M863" s="44"/>
      <c r="N863" s="37"/>
      <c r="O863" s="38"/>
      <c r="P863" s="34"/>
      <c r="Q863" s="39"/>
      <c r="R863" s="84"/>
      <c r="S863" s="47"/>
      <c r="T863" s="42"/>
      <c r="U863" s="42"/>
      <c r="W863" s="96"/>
      <c r="X863" s="223"/>
      <c r="Y863" s="98"/>
      <c r="Z863" s="97"/>
      <c r="AA863" s="99"/>
    </row>
    <row r="864" spans="1:27" s="95" customFormat="1">
      <c r="A864" s="34"/>
      <c r="B864" s="76"/>
      <c r="C864" s="76"/>
      <c r="D864" s="188"/>
      <c r="E864" s="44"/>
      <c r="F864" s="44"/>
      <c r="G864" s="44"/>
      <c r="H864" s="44"/>
      <c r="I864" s="44"/>
      <c r="J864" s="44"/>
      <c r="K864" s="44"/>
      <c r="L864" s="44"/>
      <c r="M864" s="44"/>
      <c r="N864" s="37"/>
      <c r="O864" s="38"/>
      <c r="P864" s="34"/>
      <c r="Q864" s="39"/>
      <c r="R864" s="84"/>
      <c r="S864" s="47"/>
      <c r="T864" s="42"/>
      <c r="U864" s="42"/>
      <c r="W864" s="96"/>
      <c r="X864" s="223"/>
      <c r="Y864" s="98"/>
      <c r="Z864" s="97"/>
      <c r="AA864" s="99"/>
    </row>
    <row r="865" spans="1:27" s="95" customFormat="1">
      <c r="A865" s="34"/>
      <c r="B865" s="76"/>
      <c r="C865" s="76"/>
      <c r="D865" s="188"/>
      <c r="E865" s="44"/>
      <c r="F865" s="44"/>
      <c r="G865" s="44"/>
      <c r="H865" s="44"/>
      <c r="I865" s="44"/>
      <c r="J865" s="44"/>
      <c r="K865" s="44"/>
      <c r="L865" s="44"/>
      <c r="M865" s="44"/>
      <c r="N865" s="37"/>
      <c r="O865" s="38"/>
      <c r="P865" s="34"/>
      <c r="Q865" s="39"/>
      <c r="R865" s="84"/>
      <c r="S865" s="47"/>
      <c r="T865" s="42"/>
      <c r="U865" s="42"/>
      <c r="W865" s="96"/>
      <c r="X865" s="223"/>
      <c r="Y865" s="98"/>
      <c r="Z865" s="97"/>
      <c r="AA865" s="99"/>
    </row>
    <row r="866" spans="1:27" s="95" customFormat="1">
      <c r="A866" s="34"/>
      <c r="B866" s="76"/>
      <c r="C866" s="76"/>
      <c r="D866" s="188"/>
      <c r="E866" s="44"/>
      <c r="F866" s="44"/>
      <c r="G866" s="44"/>
      <c r="H866" s="44"/>
      <c r="I866" s="44"/>
      <c r="J866" s="44"/>
      <c r="K866" s="44"/>
      <c r="L866" s="44"/>
      <c r="M866" s="44"/>
      <c r="N866" s="37"/>
      <c r="O866" s="38"/>
      <c r="P866" s="34"/>
      <c r="Q866" s="39"/>
      <c r="R866" s="84"/>
      <c r="S866" s="47"/>
      <c r="T866" s="42"/>
      <c r="U866" s="42"/>
      <c r="W866" s="96"/>
      <c r="X866" s="223"/>
      <c r="Y866" s="98"/>
      <c r="Z866" s="97"/>
      <c r="AA866" s="99"/>
    </row>
    <row r="867" spans="1:27" s="95" customFormat="1">
      <c r="A867" s="34"/>
      <c r="B867" s="76"/>
      <c r="C867" s="76"/>
      <c r="D867" s="188"/>
      <c r="E867" s="44"/>
      <c r="F867" s="44"/>
      <c r="G867" s="44"/>
      <c r="H867" s="44"/>
      <c r="I867" s="44"/>
      <c r="J867" s="44"/>
      <c r="K867" s="44"/>
      <c r="L867" s="44"/>
      <c r="M867" s="44"/>
      <c r="N867" s="37"/>
      <c r="O867" s="38"/>
      <c r="P867" s="34"/>
      <c r="Q867" s="39"/>
      <c r="R867" s="84"/>
      <c r="S867" s="47"/>
      <c r="T867" s="42"/>
      <c r="U867" s="42"/>
      <c r="W867" s="96"/>
      <c r="X867" s="223"/>
      <c r="Y867" s="98"/>
      <c r="Z867" s="97"/>
      <c r="AA867" s="99"/>
    </row>
    <row r="868" spans="1:27" s="95" customFormat="1">
      <c r="A868" s="34"/>
      <c r="B868" s="76"/>
      <c r="C868" s="76"/>
      <c r="D868" s="188"/>
      <c r="E868" s="44"/>
      <c r="F868" s="44"/>
      <c r="G868" s="44"/>
      <c r="H868" s="44"/>
      <c r="I868" s="44"/>
      <c r="J868" s="44"/>
      <c r="K868" s="44"/>
      <c r="L868" s="44"/>
      <c r="M868" s="44"/>
      <c r="N868" s="37"/>
      <c r="O868" s="38"/>
      <c r="P868" s="34"/>
      <c r="Q868" s="39"/>
      <c r="R868" s="84"/>
      <c r="S868" s="47"/>
      <c r="T868" s="42"/>
      <c r="U868" s="42"/>
      <c r="W868" s="96"/>
      <c r="X868" s="223"/>
      <c r="Y868" s="98"/>
      <c r="Z868" s="97"/>
      <c r="AA868" s="99"/>
    </row>
    <row r="869" spans="1:27" s="95" customFormat="1">
      <c r="A869" s="34"/>
      <c r="B869" s="76"/>
      <c r="C869" s="76"/>
      <c r="D869" s="188"/>
      <c r="E869" s="44"/>
      <c r="F869" s="44"/>
      <c r="G869" s="44"/>
      <c r="H869" s="44"/>
      <c r="I869" s="44"/>
      <c r="J869" s="44"/>
      <c r="K869" s="44"/>
      <c r="L869" s="44"/>
      <c r="M869" s="44"/>
      <c r="N869" s="37"/>
      <c r="O869" s="38"/>
      <c r="P869" s="34"/>
      <c r="Q869" s="39"/>
      <c r="R869" s="84"/>
      <c r="S869" s="47"/>
      <c r="T869" s="42"/>
      <c r="U869" s="42"/>
      <c r="W869" s="96"/>
      <c r="X869" s="223"/>
      <c r="Y869" s="98"/>
      <c r="Z869" s="97"/>
      <c r="AA869" s="99"/>
    </row>
    <row r="870" spans="1:27" s="95" customFormat="1">
      <c r="A870" s="34"/>
      <c r="B870" s="76"/>
      <c r="C870" s="76"/>
      <c r="D870" s="188"/>
      <c r="E870" s="44"/>
      <c r="F870" s="44"/>
      <c r="G870" s="44"/>
      <c r="H870" s="44"/>
      <c r="I870" s="44"/>
      <c r="J870" s="44"/>
      <c r="K870" s="44"/>
      <c r="L870" s="44"/>
      <c r="M870" s="44"/>
      <c r="N870" s="37"/>
      <c r="O870" s="38"/>
      <c r="P870" s="34"/>
      <c r="Q870" s="45"/>
      <c r="R870" s="84"/>
      <c r="S870" s="47"/>
      <c r="T870" s="42"/>
      <c r="U870" s="42"/>
      <c r="W870" s="96"/>
      <c r="X870" s="223"/>
      <c r="Y870" s="98"/>
      <c r="Z870" s="97"/>
      <c r="AA870" s="99"/>
    </row>
    <row r="871" spans="1:27" s="95" customFormat="1">
      <c r="A871" s="34"/>
      <c r="B871" s="76"/>
      <c r="C871" s="76"/>
      <c r="D871" s="188"/>
      <c r="E871" s="44"/>
      <c r="F871" s="44"/>
      <c r="G871" s="44"/>
      <c r="H871" s="44"/>
      <c r="I871" s="44"/>
      <c r="J871" s="44"/>
      <c r="K871" s="44"/>
      <c r="L871" s="44"/>
      <c r="M871" s="44"/>
      <c r="N871" s="37"/>
      <c r="O871" s="38"/>
      <c r="P871" s="34"/>
      <c r="Q871" s="45"/>
      <c r="R871" s="84"/>
      <c r="S871" s="47"/>
      <c r="T871" s="42"/>
      <c r="U871" s="42"/>
      <c r="W871" s="96"/>
      <c r="X871" s="223"/>
      <c r="Y871" s="98"/>
      <c r="Z871" s="97"/>
      <c r="AA871" s="99"/>
    </row>
    <row r="872" spans="1:27" s="95" customFormat="1">
      <c r="A872" s="34"/>
      <c r="B872" s="76"/>
      <c r="C872" s="76"/>
      <c r="D872" s="188"/>
      <c r="E872" s="44"/>
      <c r="F872" s="44"/>
      <c r="G872" s="44"/>
      <c r="H872" s="44"/>
      <c r="I872" s="44"/>
      <c r="J872" s="44"/>
      <c r="K872" s="44"/>
      <c r="L872" s="44"/>
      <c r="M872" s="44"/>
      <c r="N872" s="37"/>
      <c r="O872" s="38"/>
      <c r="P872" s="34"/>
      <c r="Q872" s="45"/>
      <c r="R872" s="84"/>
      <c r="S872" s="47"/>
      <c r="T872" s="42"/>
      <c r="U872" s="42"/>
      <c r="W872" s="96"/>
      <c r="X872" s="223"/>
      <c r="Y872" s="98"/>
      <c r="Z872" s="97"/>
      <c r="AA872" s="99"/>
    </row>
    <row r="873" spans="1:27" s="95" customFormat="1">
      <c r="A873" s="34"/>
      <c r="B873" s="76"/>
      <c r="C873" s="76"/>
      <c r="D873" s="188"/>
      <c r="E873" s="44"/>
      <c r="F873" s="44"/>
      <c r="G873" s="44"/>
      <c r="H873" s="44"/>
      <c r="I873" s="44"/>
      <c r="J873" s="44"/>
      <c r="K873" s="44"/>
      <c r="L873" s="44"/>
      <c r="M873" s="44"/>
      <c r="N873" s="37"/>
      <c r="O873" s="38"/>
      <c r="P873" s="34"/>
      <c r="Q873" s="45"/>
      <c r="R873" s="84"/>
      <c r="S873" s="47"/>
      <c r="T873" s="42"/>
      <c r="U873" s="42"/>
      <c r="W873" s="96"/>
      <c r="X873" s="223"/>
      <c r="Y873" s="98"/>
      <c r="Z873" s="97"/>
      <c r="AA873" s="99"/>
    </row>
    <row r="874" spans="1:27" s="95" customFormat="1">
      <c r="A874" s="34"/>
      <c r="B874" s="76"/>
      <c r="C874" s="76"/>
      <c r="D874" s="188"/>
      <c r="E874" s="44"/>
      <c r="F874" s="44"/>
      <c r="G874" s="44"/>
      <c r="H874" s="44"/>
      <c r="I874" s="44"/>
      <c r="J874" s="44"/>
      <c r="K874" s="44"/>
      <c r="L874" s="44"/>
      <c r="M874" s="44"/>
      <c r="N874" s="37"/>
      <c r="O874" s="38"/>
      <c r="P874" s="34"/>
      <c r="Q874" s="34"/>
      <c r="R874" s="76"/>
      <c r="S874" s="47"/>
      <c r="T874" s="42"/>
      <c r="U874" s="42"/>
      <c r="W874" s="96"/>
      <c r="X874" s="223"/>
      <c r="Y874" s="98"/>
      <c r="Z874" s="97"/>
      <c r="AA874" s="99"/>
    </row>
    <row r="875" spans="1:27" s="95" customFormat="1">
      <c r="A875" s="34"/>
      <c r="B875" s="76"/>
      <c r="C875" s="76"/>
      <c r="D875" s="188"/>
      <c r="E875" s="44"/>
      <c r="F875" s="44"/>
      <c r="G875" s="44"/>
      <c r="H875" s="44"/>
      <c r="I875" s="44"/>
      <c r="J875" s="44"/>
      <c r="K875" s="44"/>
      <c r="L875" s="44"/>
      <c r="M875" s="44"/>
      <c r="N875" s="37"/>
      <c r="O875" s="38"/>
      <c r="P875" s="34"/>
      <c r="Q875" s="34"/>
      <c r="R875" s="76"/>
      <c r="S875" s="47"/>
      <c r="T875" s="42"/>
      <c r="U875" s="42"/>
      <c r="W875" s="96"/>
      <c r="X875" s="223"/>
      <c r="Y875" s="98"/>
      <c r="Z875" s="97"/>
      <c r="AA875" s="99"/>
    </row>
    <row r="876" spans="1:27" s="95" customFormat="1">
      <c r="A876" s="34"/>
      <c r="B876" s="76"/>
      <c r="C876" s="76"/>
      <c r="D876" s="188"/>
      <c r="E876" s="44"/>
      <c r="F876" s="44"/>
      <c r="G876" s="44"/>
      <c r="H876" s="44"/>
      <c r="I876" s="44"/>
      <c r="J876" s="44"/>
      <c r="K876" s="44"/>
      <c r="L876" s="44"/>
      <c r="M876" s="44"/>
      <c r="N876" s="37"/>
      <c r="O876" s="38"/>
      <c r="P876" s="34"/>
      <c r="Q876" s="34"/>
      <c r="R876" s="76"/>
      <c r="S876" s="47"/>
      <c r="T876" s="42"/>
      <c r="U876" s="42"/>
      <c r="W876" s="96"/>
      <c r="X876" s="223"/>
      <c r="Y876" s="98"/>
      <c r="Z876" s="97"/>
      <c r="AA876" s="99"/>
    </row>
    <row r="877" spans="1:27" s="95" customFormat="1">
      <c r="A877" s="34"/>
      <c r="B877" s="76"/>
      <c r="C877" s="76"/>
      <c r="D877" s="188"/>
      <c r="E877" s="44"/>
      <c r="F877" s="44"/>
      <c r="G877" s="44"/>
      <c r="H877" s="44"/>
      <c r="I877" s="44"/>
      <c r="J877" s="44"/>
      <c r="K877" s="44"/>
      <c r="L877" s="44"/>
      <c r="M877" s="44"/>
      <c r="N877" s="37"/>
      <c r="O877" s="38"/>
      <c r="P877" s="34"/>
      <c r="Q877" s="34"/>
      <c r="R877" s="76"/>
      <c r="S877" s="47"/>
      <c r="T877" s="42"/>
      <c r="U877" s="42"/>
      <c r="W877" s="96"/>
      <c r="X877" s="223"/>
      <c r="Y877" s="98"/>
      <c r="Z877" s="97"/>
      <c r="AA877" s="99"/>
    </row>
    <row r="878" spans="1:27" s="95" customFormat="1">
      <c r="A878" s="34"/>
      <c r="B878" s="76"/>
      <c r="C878" s="76"/>
      <c r="D878" s="188"/>
      <c r="E878" s="44"/>
      <c r="F878" s="44"/>
      <c r="G878" s="44"/>
      <c r="H878" s="44"/>
      <c r="I878" s="44"/>
      <c r="J878" s="44"/>
      <c r="K878" s="44"/>
      <c r="L878" s="44"/>
      <c r="M878" s="44"/>
      <c r="N878" s="37"/>
      <c r="O878" s="38"/>
      <c r="P878" s="34"/>
      <c r="Q878" s="34"/>
      <c r="R878" s="76"/>
      <c r="S878" s="47"/>
      <c r="T878" s="42"/>
      <c r="U878" s="42"/>
      <c r="W878" s="96"/>
      <c r="X878" s="223"/>
      <c r="Y878" s="98"/>
      <c r="Z878" s="97"/>
      <c r="AA878" s="99"/>
    </row>
    <row r="879" spans="1:27" s="95" customFormat="1">
      <c r="A879" s="34"/>
      <c r="B879" s="76"/>
      <c r="C879" s="76"/>
      <c r="D879" s="188"/>
      <c r="E879" s="44"/>
      <c r="F879" s="44"/>
      <c r="G879" s="44"/>
      <c r="H879" s="44"/>
      <c r="I879" s="44"/>
      <c r="J879" s="44"/>
      <c r="K879" s="44"/>
      <c r="L879" s="44"/>
      <c r="M879" s="44"/>
      <c r="N879" s="37"/>
      <c r="O879" s="38"/>
      <c r="P879" s="34"/>
      <c r="Q879" s="34"/>
      <c r="R879" s="76"/>
      <c r="S879" s="47"/>
      <c r="T879" s="42"/>
      <c r="U879" s="42"/>
      <c r="W879" s="96"/>
      <c r="X879" s="223"/>
      <c r="Y879" s="98"/>
      <c r="Z879" s="97"/>
      <c r="AA879" s="99"/>
    </row>
    <row r="880" spans="1:27" s="95" customFormat="1">
      <c r="A880" s="34"/>
      <c r="B880" s="76"/>
      <c r="C880" s="76"/>
      <c r="D880" s="188"/>
      <c r="E880" s="44"/>
      <c r="F880" s="44"/>
      <c r="G880" s="44"/>
      <c r="H880" s="44"/>
      <c r="I880" s="44"/>
      <c r="J880" s="44"/>
      <c r="K880" s="44"/>
      <c r="L880" s="44"/>
      <c r="M880" s="44"/>
      <c r="N880" s="37"/>
      <c r="O880" s="38"/>
      <c r="P880" s="34"/>
      <c r="Q880" s="34"/>
      <c r="R880" s="76"/>
      <c r="S880" s="47"/>
      <c r="T880" s="42"/>
      <c r="U880" s="42"/>
      <c r="W880" s="96"/>
      <c r="X880" s="223"/>
      <c r="Y880" s="98"/>
      <c r="Z880" s="97"/>
      <c r="AA880" s="99"/>
    </row>
    <row r="881" spans="1:27" s="95" customFormat="1">
      <c r="A881" s="34"/>
      <c r="B881" s="76"/>
      <c r="C881" s="76"/>
      <c r="D881" s="188"/>
      <c r="E881" s="44"/>
      <c r="F881" s="44"/>
      <c r="G881" s="44"/>
      <c r="H881" s="44"/>
      <c r="I881" s="44"/>
      <c r="J881" s="44"/>
      <c r="K881" s="44"/>
      <c r="L881" s="44"/>
      <c r="M881" s="44"/>
      <c r="N881" s="37"/>
      <c r="O881" s="38"/>
      <c r="P881" s="34"/>
      <c r="Q881" s="34"/>
      <c r="R881" s="76"/>
      <c r="S881" s="47"/>
      <c r="T881" s="42"/>
      <c r="U881" s="42"/>
      <c r="W881" s="96"/>
      <c r="X881" s="223"/>
      <c r="Y881" s="98"/>
      <c r="Z881" s="97"/>
      <c r="AA881" s="99"/>
    </row>
    <row r="882" spans="1:27" s="95" customFormat="1">
      <c r="A882" s="34"/>
      <c r="B882" s="76"/>
      <c r="C882" s="76"/>
      <c r="D882" s="188"/>
      <c r="E882" s="44"/>
      <c r="F882" s="44"/>
      <c r="G882" s="44"/>
      <c r="H882" s="44"/>
      <c r="I882" s="44"/>
      <c r="J882" s="44"/>
      <c r="K882" s="44"/>
      <c r="L882" s="44"/>
      <c r="M882" s="44"/>
      <c r="N882" s="37"/>
      <c r="O882" s="38"/>
      <c r="P882" s="34"/>
      <c r="Q882" s="34"/>
      <c r="R882" s="76"/>
      <c r="S882" s="47"/>
      <c r="T882" s="42"/>
      <c r="U882" s="42"/>
      <c r="W882" s="96"/>
      <c r="X882" s="223"/>
      <c r="Y882" s="98"/>
      <c r="Z882" s="97"/>
      <c r="AA882" s="99"/>
    </row>
    <row r="883" spans="1:27" s="95" customFormat="1">
      <c r="A883" s="34"/>
      <c r="B883" s="76"/>
      <c r="C883" s="76"/>
      <c r="D883" s="188"/>
      <c r="E883" s="44"/>
      <c r="F883" s="44"/>
      <c r="G883" s="44"/>
      <c r="H883" s="44"/>
      <c r="I883" s="44"/>
      <c r="J883" s="44"/>
      <c r="K883" s="44"/>
      <c r="L883" s="44"/>
      <c r="M883" s="44"/>
      <c r="N883" s="37"/>
      <c r="O883" s="38"/>
      <c r="P883" s="34"/>
      <c r="Q883" s="34"/>
      <c r="R883" s="76"/>
      <c r="S883" s="47"/>
      <c r="T883" s="42"/>
      <c r="U883" s="42"/>
      <c r="W883" s="96"/>
      <c r="X883" s="223"/>
      <c r="Y883" s="98"/>
      <c r="Z883" s="97"/>
      <c r="AA883" s="99"/>
    </row>
    <row r="884" spans="1:27" s="95" customFormat="1">
      <c r="A884" s="34"/>
      <c r="B884" s="76"/>
      <c r="C884" s="76"/>
      <c r="D884" s="188"/>
      <c r="E884" s="44"/>
      <c r="F884" s="44"/>
      <c r="G884" s="44"/>
      <c r="H884" s="44"/>
      <c r="I884" s="44"/>
      <c r="J884" s="44"/>
      <c r="K884" s="44"/>
      <c r="L884" s="44"/>
      <c r="M884" s="44"/>
      <c r="N884" s="37"/>
      <c r="O884" s="38"/>
      <c r="P884" s="34"/>
      <c r="Q884" s="34"/>
      <c r="R884" s="76"/>
      <c r="S884" s="47"/>
      <c r="T884" s="42"/>
      <c r="U884" s="42"/>
      <c r="W884" s="96"/>
      <c r="X884" s="223"/>
      <c r="Y884" s="98"/>
      <c r="Z884" s="97"/>
      <c r="AA884" s="99"/>
    </row>
    <row r="885" spans="1:27" s="95" customFormat="1">
      <c r="A885" s="34"/>
      <c r="B885" s="76"/>
      <c r="C885" s="76"/>
      <c r="D885" s="188"/>
      <c r="E885" s="44"/>
      <c r="F885" s="44"/>
      <c r="G885" s="44"/>
      <c r="H885" s="44"/>
      <c r="I885" s="44"/>
      <c r="J885" s="44"/>
      <c r="K885" s="44"/>
      <c r="L885" s="44"/>
      <c r="M885" s="44"/>
      <c r="N885" s="37"/>
      <c r="O885" s="38"/>
      <c r="P885" s="34"/>
      <c r="Q885" s="34"/>
      <c r="R885" s="76"/>
      <c r="S885" s="47"/>
      <c r="T885" s="42"/>
      <c r="U885" s="42"/>
      <c r="W885" s="96"/>
      <c r="X885" s="223"/>
      <c r="Y885" s="98"/>
      <c r="Z885" s="97"/>
      <c r="AA885" s="99"/>
    </row>
    <row r="886" spans="1:27" s="95" customFormat="1">
      <c r="A886" s="34"/>
      <c r="B886" s="76"/>
      <c r="C886" s="76"/>
      <c r="D886" s="188"/>
      <c r="E886" s="44"/>
      <c r="F886" s="44"/>
      <c r="G886" s="44"/>
      <c r="H886" s="44"/>
      <c r="I886" s="44"/>
      <c r="J886" s="44"/>
      <c r="K886" s="44"/>
      <c r="L886" s="44"/>
      <c r="M886" s="44"/>
      <c r="N886" s="37"/>
      <c r="O886" s="38"/>
      <c r="P886" s="34"/>
      <c r="Q886" s="34"/>
      <c r="R886" s="76"/>
      <c r="S886" s="47"/>
      <c r="T886" s="42"/>
      <c r="U886" s="42"/>
      <c r="W886" s="96"/>
      <c r="X886" s="223"/>
      <c r="Y886" s="98"/>
      <c r="Z886" s="97"/>
      <c r="AA886" s="99"/>
    </row>
    <row r="887" spans="1:27" s="95" customFormat="1">
      <c r="A887" s="34"/>
      <c r="B887" s="76"/>
      <c r="C887" s="76"/>
      <c r="D887" s="188"/>
      <c r="E887" s="44"/>
      <c r="F887" s="44"/>
      <c r="G887" s="44"/>
      <c r="H887" s="44"/>
      <c r="I887" s="44"/>
      <c r="J887" s="44"/>
      <c r="K887" s="44"/>
      <c r="L887" s="44"/>
      <c r="M887" s="44"/>
      <c r="N887" s="37"/>
      <c r="O887" s="38"/>
      <c r="P887" s="34"/>
      <c r="Q887" s="34"/>
      <c r="R887" s="76"/>
      <c r="S887" s="47"/>
      <c r="T887" s="42"/>
      <c r="U887" s="42"/>
      <c r="W887" s="96"/>
      <c r="X887" s="223"/>
      <c r="Y887" s="98"/>
      <c r="Z887" s="97"/>
      <c r="AA887" s="99"/>
    </row>
    <row r="888" spans="1:27" s="95" customFormat="1">
      <c r="A888" s="34"/>
      <c r="B888" s="76"/>
      <c r="C888" s="76"/>
      <c r="D888" s="188"/>
      <c r="E888" s="44"/>
      <c r="F888" s="44"/>
      <c r="G888" s="44"/>
      <c r="H888" s="44"/>
      <c r="I888" s="44"/>
      <c r="J888" s="44"/>
      <c r="K888" s="44"/>
      <c r="L888" s="44"/>
      <c r="M888" s="44"/>
      <c r="N888" s="37"/>
      <c r="O888" s="38"/>
      <c r="P888" s="34"/>
      <c r="Q888" s="34"/>
      <c r="R888" s="76"/>
      <c r="S888" s="47"/>
      <c r="T888" s="42"/>
      <c r="U888" s="42"/>
      <c r="W888" s="96"/>
      <c r="X888" s="223"/>
      <c r="Y888" s="98"/>
      <c r="Z888" s="97"/>
      <c r="AA888" s="99"/>
    </row>
    <row r="889" spans="1:27" s="95" customFormat="1">
      <c r="A889" s="34"/>
      <c r="B889" s="76"/>
      <c r="C889" s="76"/>
      <c r="D889" s="188"/>
      <c r="E889" s="44"/>
      <c r="F889" s="44"/>
      <c r="G889" s="44"/>
      <c r="H889" s="44"/>
      <c r="I889" s="44"/>
      <c r="J889" s="44"/>
      <c r="K889" s="44"/>
      <c r="L889" s="44"/>
      <c r="M889" s="44"/>
      <c r="N889" s="37"/>
      <c r="O889" s="38"/>
      <c r="P889" s="34"/>
      <c r="Q889" s="34"/>
      <c r="R889" s="76"/>
      <c r="S889" s="47"/>
      <c r="T889" s="42"/>
      <c r="U889" s="42"/>
      <c r="W889" s="96"/>
      <c r="X889" s="223"/>
      <c r="Y889" s="98"/>
      <c r="Z889" s="97"/>
      <c r="AA889" s="99"/>
    </row>
    <row r="890" spans="1:27" s="95" customFormat="1">
      <c r="A890" s="34"/>
      <c r="B890" s="76"/>
      <c r="C890" s="76"/>
      <c r="D890" s="188"/>
      <c r="E890" s="44"/>
      <c r="F890" s="44"/>
      <c r="G890" s="44"/>
      <c r="H890" s="44"/>
      <c r="I890" s="44"/>
      <c r="J890" s="44"/>
      <c r="K890" s="44"/>
      <c r="L890" s="44"/>
      <c r="M890" s="44"/>
      <c r="N890" s="37"/>
      <c r="O890" s="38"/>
      <c r="P890" s="34"/>
      <c r="Q890" s="34"/>
      <c r="R890" s="76"/>
      <c r="S890" s="47"/>
      <c r="T890" s="42"/>
      <c r="U890" s="42"/>
      <c r="W890" s="96"/>
      <c r="X890" s="223"/>
      <c r="Y890" s="98"/>
      <c r="Z890" s="97"/>
      <c r="AA890" s="99"/>
    </row>
    <row r="891" spans="1:27" s="95" customFormat="1">
      <c r="A891" s="34"/>
      <c r="B891" s="76"/>
      <c r="C891" s="76"/>
      <c r="D891" s="188"/>
      <c r="E891" s="44"/>
      <c r="F891" s="44"/>
      <c r="G891" s="44"/>
      <c r="H891" s="44"/>
      <c r="I891" s="44"/>
      <c r="J891" s="44"/>
      <c r="K891" s="44"/>
      <c r="L891" s="44"/>
      <c r="M891" s="44"/>
      <c r="N891" s="37"/>
      <c r="O891" s="38"/>
      <c r="P891" s="34"/>
      <c r="Q891" s="34"/>
      <c r="R891" s="76"/>
      <c r="S891" s="47"/>
      <c r="T891" s="42"/>
      <c r="U891" s="42"/>
      <c r="W891" s="96"/>
      <c r="X891" s="223"/>
      <c r="Y891" s="98"/>
      <c r="Z891" s="97"/>
      <c r="AA891" s="99"/>
    </row>
    <row r="892" spans="1:27" s="95" customFormat="1">
      <c r="A892" s="34"/>
      <c r="B892" s="76"/>
      <c r="C892" s="76"/>
      <c r="D892" s="188"/>
      <c r="E892" s="44"/>
      <c r="F892" s="44"/>
      <c r="G892" s="44"/>
      <c r="H892" s="44"/>
      <c r="I892" s="44"/>
      <c r="J892" s="44"/>
      <c r="K892" s="44"/>
      <c r="L892" s="44"/>
      <c r="M892" s="44"/>
      <c r="N892" s="37"/>
      <c r="O892" s="38"/>
      <c r="P892" s="34"/>
      <c r="Q892" s="34"/>
      <c r="R892" s="76"/>
      <c r="S892" s="47"/>
      <c r="T892" s="42"/>
      <c r="U892" s="42"/>
      <c r="W892" s="96"/>
      <c r="X892" s="223"/>
      <c r="Y892" s="98"/>
      <c r="Z892" s="97"/>
      <c r="AA892" s="99"/>
    </row>
    <row r="893" spans="1:27" s="95" customFormat="1">
      <c r="A893" s="34"/>
      <c r="B893" s="76"/>
      <c r="C893" s="76"/>
      <c r="D893" s="188"/>
      <c r="E893" s="44"/>
      <c r="F893" s="44"/>
      <c r="G893" s="44"/>
      <c r="H893" s="44"/>
      <c r="I893" s="44"/>
      <c r="J893" s="44"/>
      <c r="K893" s="44"/>
      <c r="L893" s="44"/>
      <c r="M893" s="44"/>
      <c r="N893" s="37"/>
      <c r="O893" s="38"/>
      <c r="P893" s="34"/>
      <c r="Q893" s="34"/>
      <c r="R893" s="76"/>
      <c r="S893" s="47"/>
      <c r="T893" s="42"/>
      <c r="U893" s="42"/>
      <c r="W893" s="96"/>
      <c r="X893" s="223"/>
      <c r="Y893" s="98"/>
      <c r="Z893" s="97"/>
      <c r="AA893" s="99"/>
    </row>
    <row r="894" spans="1:27" s="95" customFormat="1">
      <c r="A894" s="34"/>
      <c r="B894" s="76"/>
      <c r="C894" s="76"/>
      <c r="D894" s="188"/>
      <c r="E894" s="44"/>
      <c r="F894" s="44"/>
      <c r="G894" s="44"/>
      <c r="H894" s="44"/>
      <c r="I894" s="44"/>
      <c r="J894" s="44"/>
      <c r="K894" s="44"/>
      <c r="L894" s="44"/>
      <c r="M894" s="44"/>
      <c r="N894" s="37"/>
      <c r="O894" s="38"/>
      <c r="P894" s="34"/>
      <c r="Q894" s="34"/>
      <c r="R894" s="76"/>
      <c r="S894" s="47"/>
      <c r="T894" s="42"/>
      <c r="U894" s="42"/>
      <c r="W894" s="96"/>
      <c r="X894" s="223"/>
      <c r="Y894" s="98"/>
      <c r="Z894" s="97"/>
      <c r="AA894" s="99"/>
    </row>
    <row r="895" spans="1:27" s="95" customFormat="1">
      <c r="A895" s="34"/>
      <c r="B895" s="76"/>
      <c r="C895" s="76"/>
      <c r="D895" s="188"/>
      <c r="E895" s="44"/>
      <c r="F895" s="44"/>
      <c r="G895" s="44"/>
      <c r="H895" s="44"/>
      <c r="I895" s="44"/>
      <c r="J895" s="44"/>
      <c r="K895" s="44"/>
      <c r="L895" s="44"/>
      <c r="M895" s="44"/>
      <c r="N895" s="37"/>
      <c r="O895" s="38"/>
      <c r="P895" s="34"/>
      <c r="Q895" s="34"/>
      <c r="R895" s="76"/>
      <c r="S895" s="47"/>
      <c r="T895" s="42"/>
      <c r="U895" s="42"/>
      <c r="W895" s="96"/>
      <c r="X895" s="223"/>
      <c r="Y895" s="98"/>
      <c r="Z895" s="97"/>
      <c r="AA895" s="99"/>
    </row>
    <row r="896" spans="1:27" s="95" customFormat="1">
      <c r="A896" s="34"/>
      <c r="B896" s="76"/>
      <c r="C896" s="76"/>
      <c r="D896" s="188"/>
      <c r="E896" s="44"/>
      <c r="F896" s="44"/>
      <c r="G896" s="44"/>
      <c r="H896" s="44"/>
      <c r="I896" s="44"/>
      <c r="J896" s="44"/>
      <c r="K896" s="44"/>
      <c r="L896" s="44"/>
      <c r="M896" s="44"/>
      <c r="N896" s="37"/>
      <c r="O896" s="38"/>
      <c r="P896" s="34"/>
      <c r="Q896" s="34"/>
      <c r="R896" s="76"/>
      <c r="S896" s="47"/>
      <c r="T896" s="42"/>
      <c r="U896" s="42"/>
      <c r="W896" s="96"/>
      <c r="X896" s="223"/>
      <c r="Y896" s="98"/>
      <c r="Z896" s="97"/>
      <c r="AA896" s="99"/>
    </row>
    <row r="897" spans="1:27" s="95" customFormat="1">
      <c r="A897" s="34"/>
      <c r="B897" s="76"/>
      <c r="C897" s="76"/>
      <c r="D897" s="188"/>
      <c r="E897" s="44"/>
      <c r="F897" s="44"/>
      <c r="G897" s="44"/>
      <c r="H897" s="44"/>
      <c r="I897" s="44"/>
      <c r="J897" s="44"/>
      <c r="K897" s="44"/>
      <c r="L897" s="44"/>
      <c r="M897" s="44"/>
      <c r="N897" s="37"/>
      <c r="O897" s="38"/>
      <c r="P897" s="34"/>
      <c r="Q897" s="34"/>
      <c r="R897" s="76"/>
      <c r="S897" s="47"/>
      <c r="T897" s="42"/>
      <c r="U897" s="42"/>
      <c r="W897" s="96"/>
      <c r="X897" s="223"/>
      <c r="Y897" s="98"/>
      <c r="Z897" s="97"/>
      <c r="AA897" s="99"/>
    </row>
    <row r="898" spans="1:27" s="95" customFormat="1">
      <c r="A898" s="34"/>
      <c r="B898" s="76"/>
      <c r="C898" s="76"/>
      <c r="D898" s="188"/>
      <c r="E898" s="44"/>
      <c r="F898" s="44"/>
      <c r="G898" s="44"/>
      <c r="H898" s="44"/>
      <c r="I898" s="44"/>
      <c r="J898" s="44"/>
      <c r="K898" s="44"/>
      <c r="L898" s="44"/>
      <c r="M898" s="44"/>
      <c r="N898" s="37"/>
      <c r="O898" s="38"/>
      <c r="P898" s="34"/>
      <c r="Q898" s="34"/>
      <c r="R898" s="76"/>
      <c r="S898" s="47"/>
      <c r="T898" s="42"/>
      <c r="U898" s="42"/>
      <c r="W898" s="96"/>
      <c r="X898" s="223"/>
      <c r="Y898" s="98"/>
      <c r="Z898" s="97"/>
      <c r="AA898" s="99"/>
    </row>
    <row r="899" spans="1:27" s="95" customFormat="1">
      <c r="A899" s="34"/>
      <c r="B899" s="76"/>
      <c r="C899" s="76"/>
      <c r="D899" s="188"/>
      <c r="E899" s="44"/>
      <c r="F899" s="44"/>
      <c r="G899" s="44"/>
      <c r="H899" s="44"/>
      <c r="I899" s="44"/>
      <c r="J899" s="44"/>
      <c r="K899" s="44"/>
      <c r="L899" s="44"/>
      <c r="M899" s="44"/>
      <c r="N899" s="37"/>
      <c r="O899" s="38"/>
      <c r="P899" s="34"/>
      <c r="Q899" s="34"/>
      <c r="R899" s="76"/>
      <c r="S899" s="47"/>
      <c r="T899" s="42"/>
      <c r="U899" s="42"/>
      <c r="W899" s="96"/>
      <c r="X899" s="223"/>
      <c r="Y899" s="98"/>
      <c r="Z899" s="97"/>
      <c r="AA899" s="99"/>
    </row>
    <row r="900" spans="1:27" s="95" customFormat="1">
      <c r="A900" s="34"/>
      <c r="B900" s="76"/>
      <c r="C900" s="76"/>
      <c r="D900" s="188"/>
      <c r="E900" s="44"/>
      <c r="F900" s="44"/>
      <c r="G900" s="44"/>
      <c r="H900" s="44"/>
      <c r="I900" s="44"/>
      <c r="J900" s="44"/>
      <c r="K900" s="44"/>
      <c r="L900" s="44"/>
      <c r="M900" s="44"/>
      <c r="N900" s="37"/>
      <c r="O900" s="38"/>
      <c r="P900" s="34"/>
      <c r="Q900" s="34"/>
      <c r="R900" s="76"/>
      <c r="S900" s="47"/>
      <c r="T900" s="42"/>
      <c r="U900" s="42"/>
      <c r="W900" s="96"/>
      <c r="X900" s="223"/>
      <c r="Y900" s="98"/>
      <c r="Z900" s="97"/>
      <c r="AA900" s="99"/>
    </row>
    <row r="901" spans="1:27" s="95" customFormat="1">
      <c r="A901" s="34"/>
      <c r="B901" s="76"/>
      <c r="C901" s="76"/>
      <c r="D901" s="188"/>
      <c r="E901" s="44"/>
      <c r="F901" s="44"/>
      <c r="G901" s="44"/>
      <c r="H901" s="44"/>
      <c r="I901" s="44"/>
      <c r="J901" s="44"/>
      <c r="K901" s="44"/>
      <c r="L901" s="44"/>
      <c r="M901" s="44"/>
      <c r="N901" s="37"/>
      <c r="O901" s="38"/>
      <c r="P901" s="34"/>
      <c r="Q901" s="34"/>
      <c r="R901" s="76"/>
      <c r="S901" s="47"/>
      <c r="T901" s="42"/>
      <c r="U901" s="42"/>
      <c r="W901" s="96"/>
      <c r="X901" s="223"/>
      <c r="Y901" s="98"/>
      <c r="Z901" s="97"/>
      <c r="AA901" s="99"/>
    </row>
    <row r="902" spans="1:27" s="95" customFormat="1">
      <c r="A902" s="34"/>
      <c r="B902" s="76"/>
      <c r="C902" s="76"/>
      <c r="D902" s="188"/>
      <c r="E902" s="44"/>
      <c r="F902" s="44"/>
      <c r="G902" s="44"/>
      <c r="H902" s="44"/>
      <c r="I902" s="44"/>
      <c r="J902" s="44"/>
      <c r="K902" s="44"/>
      <c r="L902" s="44"/>
      <c r="M902" s="44"/>
      <c r="N902" s="37"/>
      <c r="O902" s="38"/>
      <c r="P902" s="34"/>
      <c r="Q902" s="34"/>
      <c r="R902" s="76"/>
      <c r="S902" s="47"/>
      <c r="T902" s="42"/>
      <c r="U902" s="42"/>
      <c r="W902" s="96"/>
      <c r="X902" s="223"/>
      <c r="Y902" s="98"/>
      <c r="Z902" s="97"/>
      <c r="AA902" s="99"/>
    </row>
    <row r="903" spans="1:27" s="95" customFormat="1">
      <c r="A903" s="34"/>
      <c r="B903" s="76"/>
      <c r="C903" s="76"/>
      <c r="D903" s="188"/>
      <c r="E903" s="44"/>
      <c r="F903" s="44"/>
      <c r="G903" s="44"/>
      <c r="H903" s="44"/>
      <c r="I903" s="44"/>
      <c r="J903" s="44"/>
      <c r="K903" s="44"/>
      <c r="L903" s="44"/>
      <c r="M903" s="44"/>
      <c r="N903" s="37"/>
      <c r="O903" s="38"/>
      <c r="P903" s="34"/>
      <c r="Q903" s="34"/>
      <c r="R903" s="76"/>
      <c r="S903" s="47"/>
      <c r="T903" s="42"/>
      <c r="U903" s="42"/>
      <c r="W903" s="96"/>
      <c r="X903" s="223"/>
      <c r="Y903" s="98"/>
      <c r="Z903" s="97"/>
      <c r="AA903" s="99"/>
    </row>
    <row r="904" spans="1:27" s="95" customFormat="1">
      <c r="A904" s="34"/>
      <c r="B904" s="76"/>
      <c r="C904" s="76"/>
      <c r="D904" s="188"/>
      <c r="E904" s="44"/>
      <c r="F904" s="44"/>
      <c r="G904" s="44"/>
      <c r="H904" s="44"/>
      <c r="I904" s="44"/>
      <c r="J904" s="44"/>
      <c r="K904" s="44"/>
      <c r="L904" s="44"/>
      <c r="M904" s="44"/>
      <c r="N904" s="37"/>
      <c r="O904" s="38"/>
      <c r="P904" s="34"/>
      <c r="Q904" s="34"/>
      <c r="R904" s="76"/>
      <c r="S904" s="47"/>
      <c r="T904" s="42"/>
      <c r="U904" s="42"/>
      <c r="W904" s="96"/>
      <c r="X904" s="223"/>
      <c r="Y904" s="98"/>
      <c r="Z904" s="97"/>
      <c r="AA904" s="99"/>
    </row>
    <row r="905" spans="1:27" s="95" customFormat="1">
      <c r="A905" s="34"/>
      <c r="B905" s="76"/>
      <c r="C905" s="76"/>
      <c r="D905" s="188"/>
      <c r="E905" s="44"/>
      <c r="F905" s="44"/>
      <c r="G905" s="44"/>
      <c r="H905" s="44"/>
      <c r="I905" s="44"/>
      <c r="J905" s="44"/>
      <c r="K905" s="44"/>
      <c r="L905" s="44"/>
      <c r="M905" s="44"/>
      <c r="N905" s="37"/>
      <c r="O905" s="38"/>
      <c r="P905" s="34"/>
      <c r="Q905" s="34"/>
      <c r="R905" s="76"/>
      <c r="S905" s="47"/>
      <c r="T905" s="42"/>
      <c r="U905" s="42"/>
      <c r="W905" s="96"/>
      <c r="X905" s="223"/>
      <c r="Y905" s="98"/>
      <c r="Z905" s="97"/>
      <c r="AA905" s="99"/>
    </row>
    <row r="906" spans="1:27" s="95" customFormat="1">
      <c r="A906" s="34"/>
      <c r="B906" s="76"/>
      <c r="C906" s="76"/>
      <c r="D906" s="188"/>
      <c r="E906" s="44"/>
      <c r="F906" s="44"/>
      <c r="G906" s="44"/>
      <c r="H906" s="44"/>
      <c r="I906" s="44"/>
      <c r="J906" s="44"/>
      <c r="K906" s="44"/>
      <c r="L906" s="44"/>
      <c r="M906" s="44"/>
      <c r="N906" s="37"/>
      <c r="O906" s="38"/>
      <c r="P906" s="34"/>
      <c r="Q906" s="34"/>
      <c r="R906" s="76"/>
      <c r="S906" s="47"/>
      <c r="T906" s="42"/>
      <c r="U906" s="42"/>
      <c r="W906" s="96"/>
      <c r="X906" s="223"/>
      <c r="Y906" s="98"/>
      <c r="Z906" s="97"/>
      <c r="AA906" s="99"/>
    </row>
    <row r="907" spans="1:27" s="95" customFormat="1">
      <c r="A907" s="34"/>
      <c r="B907" s="76"/>
      <c r="C907" s="76"/>
      <c r="D907" s="188"/>
      <c r="E907" s="44"/>
      <c r="F907" s="44"/>
      <c r="G907" s="44"/>
      <c r="H907" s="44"/>
      <c r="I907" s="44"/>
      <c r="J907" s="44"/>
      <c r="K907" s="44"/>
      <c r="L907" s="44"/>
      <c r="M907" s="44"/>
      <c r="N907" s="37"/>
      <c r="O907" s="38"/>
      <c r="P907" s="34"/>
      <c r="Q907" s="34"/>
      <c r="R907" s="76"/>
      <c r="S907" s="47"/>
      <c r="T907" s="42"/>
      <c r="U907" s="42"/>
      <c r="W907" s="96"/>
      <c r="X907" s="223"/>
      <c r="Y907" s="98"/>
      <c r="Z907" s="97"/>
      <c r="AA907" s="99"/>
    </row>
    <row r="908" spans="1:27" s="95" customFormat="1">
      <c r="A908" s="34"/>
      <c r="B908" s="76"/>
      <c r="C908" s="76"/>
      <c r="D908" s="188"/>
      <c r="E908" s="44"/>
      <c r="F908" s="44"/>
      <c r="G908" s="44"/>
      <c r="H908" s="44"/>
      <c r="I908" s="44"/>
      <c r="J908" s="44"/>
      <c r="K908" s="44"/>
      <c r="L908" s="44"/>
      <c r="M908" s="44"/>
      <c r="N908" s="37"/>
      <c r="O908" s="38"/>
      <c r="P908" s="34"/>
      <c r="Q908" s="34"/>
      <c r="R908" s="76"/>
      <c r="S908" s="47"/>
      <c r="T908" s="42"/>
      <c r="U908" s="42"/>
      <c r="W908" s="96"/>
      <c r="X908" s="223"/>
      <c r="Y908" s="98"/>
      <c r="Z908" s="97"/>
      <c r="AA908" s="99"/>
    </row>
    <row r="909" spans="1:27" s="95" customFormat="1">
      <c r="A909" s="34"/>
      <c r="B909" s="76"/>
      <c r="C909" s="76"/>
      <c r="D909" s="188"/>
      <c r="E909" s="44"/>
      <c r="F909" s="44"/>
      <c r="G909" s="44"/>
      <c r="H909" s="44"/>
      <c r="I909" s="44"/>
      <c r="J909" s="44"/>
      <c r="K909" s="44"/>
      <c r="L909" s="44"/>
      <c r="M909" s="44"/>
      <c r="N909" s="37"/>
      <c r="O909" s="38"/>
      <c r="P909" s="34"/>
      <c r="Q909" s="34"/>
      <c r="R909" s="76"/>
      <c r="S909" s="47"/>
      <c r="T909" s="42"/>
      <c r="U909" s="42"/>
      <c r="W909" s="96"/>
      <c r="X909" s="223"/>
      <c r="Y909" s="98"/>
      <c r="Z909" s="97"/>
      <c r="AA909" s="99"/>
    </row>
    <row r="910" spans="1:27" s="95" customFormat="1">
      <c r="A910" s="34"/>
      <c r="B910" s="76"/>
      <c r="C910" s="76"/>
      <c r="D910" s="188"/>
      <c r="E910" s="44"/>
      <c r="F910" s="44"/>
      <c r="G910" s="44"/>
      <c r="H910" s="44"/>
      <c r="I910" s="44"/>
      <c r="J910" s="44"/>
      <c r="K910" s="44"/>
      <c r="L910" s="44"/>
      <c r="M910" s="44"/>
      <c r="N910" s="37"/>
      <c r="O910" s="38"/>
      <c r="P910" s="34"/>
      <c r="Q910" s="34"/>
      <c r="R910" s="76"/>
      <c r="S910" s="47"/>
      <c r="T910" s="42"/>
      <c r="U910" s="42"/>
      <c r="W910" s="96"/>
      <c r="X910" s="223"/>
      <c r="Y910" s="98"/>
      <c r="Z910" s="97"/>
      <c r="AA910" s="99"/>
    </row>
    <row r="911" spans="1:27" s="95" customFormat="1">
      <c r="A911" s="34"/>
      <c r="B911" s="76"/>
      <c r="C911" s="76"/>
      <c r="D911" s="188"/>
      <c r="E911" s="44"/>
      <c r="F911" s="44"/>
      <c r="G911" s="44"/>
      <c r="H911" s="44"/>
      <c r="I911" s="44"/>
      <c r="J911" s="44"/>
      <c r="K911" s="44"/>
      <c r="L911" s="44"/>
      <c r="M911" s="44"/>
      <c r="N911" s="37"/>
      <c r="O911" s="38"/>
      <c r="P911" s="34"/>
      <c r="Q911" s="34"/>
      <c r="R911" s="76"/>
      <c r="S911" s="47"/>
      <c r="T911" s="42"/>
      <c r="U911" s="42"/>
      <c r="W911" s="96"/>
      <c r="X911" s="223"/>
      <c r="Y911" s="98"/>
      <c r="Z911" s="97"/>
      <c r="AA911" s="99"/>
    </row>
    <row r="912" spans="1:27" s="95" customFormat="1">
      <c r="A912" s="34"/>
      <c r="B912" s="76"/>
      <c r="C912" s="76"/>
      <c r="D912" s="188"/>
      <c r="E912" s="44"/>
      <c r="F912" s="44"/>
      <c r="G912" s="44"/>
      <c r="H912" s="44"/>
      <c r="I912" s="44"/>
      <c r="J912" s="44"/>
      <c r="K912" s="44"/>
      <c r="L912" s="44"/>
      <c r="M912" s="44"/>
      <c r="N912" s="37"/>
      <c r="O912" s="38"/>
      <c r="P912" s="34"/>
      <c r="Q912" s="34"/>
      <c r="R912" s="76"/>
      <c r="S912" s="47"/>
      <c r="T912" s="42"/>
      <c r="U912" s="42"/>
      <c r="W912" s="96"/>
      <c r="X912" s="223"/>
      <c r="Y912" s="98"/>
      <c r="Z912" s="97"/>
      <c r="AA912" s="99"/>
    </row>
    <row r="913" spans="1:27" s="95" customFormat="1">
      <c r="A913" s="34"/>
      <c r="B913" s="76"/>
      <c r="C913" s="76"/>
      <c r="D913" s="188"/>
      <c r="E913" s="44"/>
      <c r="F913" s="44"/>
      <c r="G913" s="44"/>
      <c r="H913" s="44"/>
      <c r="I913" s="44"/>
      <c r="J913" s="44"/>
      <c r="K913" s="44"/>
      <c r="L913" s="44"/>
      <c r="M913" s="44"/>
      <c r="N913" s="37"/>
      <c r="O913" s="38"/>
      <c r="P913" s="34"/>
      <c r="Q913" s="34"/>
      <c r="R913" s="76"/>
      <c r="S913" s="47"/>
      <c r="T913" s="42"/>
      <c r="U913" s="42"/>
      <c r="W913" s="96"/>
      <c r="X913" s="223"/>
      <c r="Y913" s="98"/>
      <c r="Z913" s="97"/>
      <c r="AA913" s="99"/>
    </row>
    <row r="914" spans="1:27" s="95" customFormat="1">
      <c r="A914" s="34"/>
      <c r="B914" s="76"/>
      <c r="C914" s="76"/>
      <c r="D914" s="188"/>
      <c r="E914" s="44"/>
      <c r="F914" s="44"/>
      <c r="G914" s="44"/>
      <c r="H914" s="44"/>
      <c r="I914" s="44"/>
      <c r="J914" s="44"/>
      <c r="K914" s="44"/>
      <c r="L914" s="44"/>
      <c r="M914" s="44"/>
      <c r="N914" s="37"/>
      <c r="O914" s="38"/>
      <c r="P914" s="34"/>
      <c r="Q914" s="34"/>
      <c r="R914" s="76"/>
      <c r="S914" s="47"/>
      <c r="T914" s="42"/>
      <c r="U914" s="42"/>
      <c r="W914" s="96"/>
      <c r="X914" s="223"/>
      <c r="Y914" s="98"/>
      <c r="Z914" s="97"/>
      <c r="AA914" s="99"/>
    </row>
    <row r="915" spans="1:27" s="95" customFormat="1">
      <c r="A915" s="34"/>
      <c r="B915" s="76"/>
      <c r="C915" s="76"/>
      <c r="D915" s="188"/>
      <c r="E915" s="44"/>
      <c r="F915" s="44"/>
      <c r="G915" s="44"/>
      <c r="H915" s="44"/>
      <c r="I915" s="44"/>
      <c r="J915" s="44"/>
      <c r="K915" s="44"/>
      <c r="L915" s="44"/>
      <c r="M915" s="44"/>
      <c r="N915" s="37"/>
      <c r="O915" s="38"/>
      <c r="P915" s="34"/>
      <c r="Q915" s="34"/>
      <c r="R915" s="76"/>
      <c r="S915" s="47"/>
      <c r="T915" s="42"/>
      <c r="U915" s="42"/>
      <c r="W915" s="96"/>
      <c r="X915" s="223"/>
      <c r="Y915" s="98"/>
      <c r="Z915" s="97"/>
      <c r="AA915" s="99"/>
    </row>
    <row r="916" spans="1:27" s="95" customFormat="1">
      <c r="A916" s="34"/>
      <c r="B916" s="76"/>
      <c r="C916" s="76"/>
      <c r="D916" s="188"/>
      <c r="E916" s="44"/>
      <c r="F916" s="44"/>
      <c r="G916" s="44"/>
      <c r="H916" s="44"/>
      <c r="I916" s="44"/>
      <c r="J916" s="44"/>
      <c r="K916" s="44"/>
      <c r="L916" s="44"/>
      <c r="M916" s="44"/>
      <c r="N916" s="37"/>
      <c r="O916" s="38"/>
      <c r="P916" s="34"/>
      <c r="Q916" s="34"/>
      <c r="R916" s="76"/>
      <c r="S916" s="47"/>
      <c r="T916" s="42"/>
      <c r="U916" s="42"/>
      <c r="W916" s="96"/>
      <c r="X916" s="223"/>
      <c r="Y916" s="98"/>
      <c r="Z916" s="97"/>
      <c r="AA916" s="99"/>
    </row>
    <row r="917" spans="1:27" s="95" customFormat="1">
      <c r="A917" s="34"/>
      <c r="B917" s="76"/>
      <c r="C917" s="76"/>
      <c r="D917" s="188"/>
      <c r="E917" s="44"/>
      <c r="F917" s="44"/>
      <c r="G917" s="44"/>
      <c r="H917" s="44"/>
      <c r="I917" s="44"/>
      <c r="J917" s="44"/>
      <c r="K917" s="44"/>
      <c r="L917" s="44"/>
      <c r="M917" s="44"/>
      <c r="N917" s="37"/>
      <c r="O917" s="38"/>
      <c r="P917" s="34"/>
      <c r="Q917" s="34"/>
      <c r="R917" s="76"/>
      <c r="S917" s="47"/>
      <c r="T917" s="42"/>
      <c r="U917" s="42"/>
      <c r="W917" s="96"/>
      <c r="X917" s="223"/>
      <c r="Y917" s="98"/>
      <c r="Z917" s="97"/>
      <c r="AA917" s="99"/>
    </row>
    <row r="918" spans="1:27" s="95" customFormat="1">
      <c r="A918" s="34"/>
      <c r="B918" s="76"/>
      <c r="C918" s="76"/>
      <c r="D918" s="188"/>
      <c r="E918" s="44"/>
      <c r="F918" s="44"/>
      <c r="G918" s="44"/>
      <c r="H918" s="44"/>
      <c r="I918" s="44"/>
      <c r="J918" s="44"/>
      <c r="K918" s="44"/>
      <c r="L918" s="44"/>
      <c r="M918" s="44"/>
      <c r="N918" s="37"/>
      <c r="O918" s="38"/>
      <c r="P918" s="34"/>
      <c r="Q918" s="34"/>
      <c r="R918" s="76"/>
      <c r="S918" s="47"/>
      <c r="T918" s="42"/>
      <c r="U918" s="42"/>
      <c r="W918" s="96"/>
      <c r="X918" s="223"/>
      <c r="Y918" s="98"/>
      <c r="Z918" s="97"/>
      <c r="AA918" s="99"/>
    </row>
    <row r="919" spans="1:27" s="95" customFormat="1">
      <c r="A919" s="34"/>
      <c r="B919" s="76"/>
      <c r="C919" s="76"/>
      <c r="D919" s="188"/>
      <c r="E919" s="44"/>
      <c r="F919" s="44"/>
      <c r="G919" s="44"/>
      <c r="H919" s="44"/>
      <c r="I919" s="44"/>
      <c r="J919" s="44"/>
      <c r="K919" s="44"/>
      <c r="L919" s="44"/>
      <c r="M919" s="44"/>
      <c r="N919" s="37"/>
      <c r="O919" s="38"/>
      <c r="P919" s="34"/>
      <c r="Q919" s="39"/>
      <c r="R919" s="84"/>
      <c r="S919" s="47"/>
      <c r="T919" s="42"/>
      <c r="U919" s="42"/>
      <c r="W919" s="96"/>
      <c r="X919" s="223"/>
      <c r="Y919" s="98"/>
      <c r="Z919" s="97"/>
      <c r="AA919" s="99"/>
    </row>
    <row r="920" spans="1:27" s="95" customFormat="1">
      <c r="A920" s="34"/>
      <c r="B920" s="76"/>
      <c r="C920" s="76"/>
      <c r="D920" s="188"/>
      <c r="E920" s="44"/>
      <c r="F920" s="44"/>
      <c r="G920" s="44"/>
      <c r="H920" s="44"/>
      <c r="I920" s="44"/>
      <c r="J920" s="44"/>
      <c r="K920" s="44"/>
      <c r="L920" s="44"/>
      <c r="M920" s="44"/>
      <c r="N920" s="37"/>
      <c r="O920" s="38"/>
      <c r="P920" s="34"/>
      <c r="Q920" s="39"/>
      <c r="R920" s="84"/>
      <c r="S920" s="47"/>
      <c r="T920" s="42"/>
      <c r="U920" s="42"/>
      <c r="W920" s="96"/>
      <c r="X920" s="223"/>
      <c r="Y920" s="98"/>
      <c r="Z920" s="97"/>
      <c r="AA920" s="99"/>
    </row>
    <row r="921" spans="1:27" s="95" customFormat="1">
      <c r="A921" s="34"/>
      <c r="B921" s="76"/>
      <c r="C921" s="76"/>
      <c r="D921" s="188"/>
      <c r="E921" s="44"/>
      <c r="F921" s="44"/>
      <c r="G921" s="44"/>
      <c r="H921" s="44"/>
      <c r="I921" s="44"/>
      <c r="J921" s="44"/>
      <c r="K921" s="44"/>
      <c r="L921" s="44"/>
      <c r="M921" s="44"/>
      <c r="N921" s="37"/>
      <c r="O921" s="38"/>
      <c r="P921" s="34"/>
      <c r="Q921" s="39"/>
      <c r="R921" s="84"/>
      <c r="S921" s="47"/>
      <c r="T921" s="42"/>
      <c r="U921" s="42"/>
      <c r="W921" s="96"/>
      <c r="X921" s="223"/>
      <c r="Y921" s="98"/>
      <c r="Z921" s="97"/>
      <c r="AA921" s="99"/>
    </row>
    <row r="922" spans="1:27" s="95" customFormat="1">
      <c r="A922" s="34"/>
      <c r="B922" s="76"/>
      <c r="C922" s="76"/>
      <c r="D922" s="188"/>
      <c r="E922" s="44"/>
      <c r="F922" s="44"/>
      <c r="G922" s="44"/>
      <c r="H922" s="44"/>
      <c r="I922" s="44"/>
      <c r="J922" s="44"/>
      <c r="K922" s="44"/>
      <c r="L922" s="44"/>
      <c r="M922" s="44"/>
      <c r="N922" s="37"/>
      <c r="O922" s="38"/>
      <c r="P922" s="34"/>
      <c r="Q922" s="39"/>
      <c r="R922" s="84"/>
      <c r="S922" s="47"/>
      <c r="T922" s="42"/>
      <c r="U922" s="42"/>
      <c r="W922" s="96"/>
      <c r="X922" s="223"/>
      <c r="Y922" s="98"/>
      <c r="Z922" s="97"/>
      <c r="AA922" s="99"/>
    </row>
    <row r="923" spans="1:27" s="95" customFormat="1">
      <c r="A923" s="34"/>
      <c r="B923" s="76"/>
      <c r="C923" s="76"/>
      <c r="D923" s="188"/>
      <c r="E923" s="44"/>
      <c r="F923" s="44"/>
      <c r="G923" s="44"/>
      <c r="H923" s="44"/>
      <c r="I923" s="44"/>
      <c r="J923" s="44"/>
      <c r="K923" s="44"/>
      <c r="L923" s="44"/>
      <c r="M923" s="44"/>
      <c r="N923" s="37"/>
      <c r="O923" s="38"/>
      <c r="P923" s="34"/>
      <c r="Q923" s="39"/>
      <c r="R923" s="84"/>
      <c r="S923" s="47"/>
      <c r="T923" s="42"/>
      <c r="U923" s="42"/>
      <c r="W923" s="96"/>
      <c r="X923" s="223"/>
      <c r="Y923" s="98"/>
      <c r="Z923" s="97"/>
      <c r="AA923" s="99"/>
    </row>
    <row r="924" spans="1:27" s="95" customFormat="1">
      <c r="A924" s="34"/>
      <c r="B924" s="76"/>
      <c r="C924" s="76"/>
      <c r="D924" s="188"/>
      <c r="E924" s="44"/>
      <c r="F924" s="44"/>
      <c r="G924" s="44"/>
      <c r="H924" s="44"/>
      <c r="I924" s="44"/>
      <c r="J924" s="44"/>
      <c r="K924" s="44"/>
      <c r="L924" s="44"/>
      <c r="M924" s="44"/>
      <c r="N924" s="37"/>
      <c r="O924" s="38"/>
      <c r="P924" s="34"/>
      <c r="Q924" s="39"/>
      <c r="R924" s="84"/>
      <c r="S924" s="47"/>
      <c r="T924" s="42"/>
      <c r="U924" s="42"/>
      <c r="W924" s="96"/>
      <c r="X924" s="223"/>
      <c r="Y924" s="98"/>
      <c r="Z924" s="97"/>
      <c r="AA924" s="99"/>
    </row>
    <row r="925" spans="1:27" s="95" customFormat="1">
      <c r="A925" s="34"/>
      <c r="B925" s="76"/>
      <c r="C925" s="76"/>
      <c r="D925" s="188"/>
      <c r="E925" s="44"/>
      <c r="F925" s="44"/>
      <c r="G925" s="44"/>
      <c r="H925" s="44"/>
      <c r="I925" s="44"/>
      <c r="J925" s="44"/>
      <c r="K925" s="44"/>
      <c r="L925" s="44"/>
      <c r="M925" s="44"/>
      <c r="N925" s="37"/>
      <c r="O925" s="38"/>
      <c r="P925" s="34"/>
      <c r="Q925" s="39"/>
      <c r="R925" s="84"/>
      <c r="S925" s="47"/>
      <c r="T925" s="42"/>
      <c r="U925" s="42"/>
      <c r="W925" s="96"/>
      <c r="X925" s="223"/>
      <c r="Y925" s="98"/>
      <c r="Z925" s="97"/>
      <c r="AA925" s="99"/>
    </row>
    <row r="926" spans="1:27" s="95" customFormat="1">
      <c r="A926" s="34"/>
      <c r="B926" s="76"/>
      <c r="C926" s="76"/>
      <c r="D926" s="188"/>
      <c r="E926" s="44"/>
      <c r="F926" s="44"/>
      <c r="G926" s="44"/>
      <c r="H926" s="44"/>
      <c r="I926" s="44"/>
      <c r="J926" s="44"/>
      <c r="K926" s="44"/>
      <c r="L926" s="44"/>
      <c r="M926" s="44"/>
      <c r="N926" s="37"/>
      <c r="O926" s="38"/>
      <c r="P926" s="34"/>
      <c r="Q926" s="39"/>
      <c r="R926" s="84"/>
      <c r="S926" s="47"/>
      <c r="T926" s="42"/>
      <c r="U926" s="42"/>
      <c r="W926" s="96"/>
      <c r="X926" s="223"/>
      <c r="Y926" s="98"/>
      <c r="Z926" s="97"/>
      <c r="AA926" s="99"/>
    </row>
    <row r="927" spans="1:27" s="95" customFormat="1">
      <c r="A927" s="34"/>
      <c r="B927" s="76"/>
      <c r="C927" s="76"/>
      <c r="D927" s="188"/>
      <c r="E927" s="44"/>
      <c r="F927" s="44"/>
      <c r="G927" s="44"/>
      <c r="H927" s="44"/>
      <c r="I927" s="44"/>
      <c r="J927" s="44"/>
      <c r="K927" s="44"/>
      <c r="L927" s="44"/>
      <c r="M927" s="44"/>
      <c r="N927" s="37"/>
      <c r="O927" s="38"/>
      <c r="P927" s="34"/>
      <c r="Q927" s="39"/>
      <c r="R927" s="84"/>
      <c r="S927" s="47"/>
      <c r="T927" s="42"/>
      <c r="U927" s="42"/>
      <c r="W927" s="96"/>
      <c r="X927" s="223"/>
      <c r="Y927" s="98"/>
      <c r="Z927" s="97"/>
      <c r="AA927" s="99"/>
    </row>
    <row r="928" spans="1:27" s="95" customFormat="1">
      <c r="A928" s="34"/>
      <c r="B928" s="76"/>
      <c r="C928" s="76"/>
      <c r="D928" s="188"/>
      <c r="E928" s="44"/>
      <c r="F928" s="44"/>
      <c r="G928" s="44"/>
      <c r="H928" s="44"/>
      <c r="I928" s="44"/>
      <c r="J928" s="44"/>
      <c r="K928" s="44"/>
      <c r="L928" s="44"/>
      <c r="M928" s="44"/>
      <c r="N928" s="37"/>
      <c r="O928" s="38"/>
      <c r="P928" s="34"/>
      <c r="Q928" s="39"/>
      <c r="R928" s="84"/>
      <c r="S928" s="47"/>
      <c r="T928" s="42"/>
      <c r="U928" s="42"/>
      <c r="W928" s="96"/>
      <c r="X928" s="223"/>
      <c r="Y928" s="98"/>
      <c r="Z928" s="97"/>
      <c r="AA928" s="99"/>
    </row>
    <row r="929" spans="1:27" s="95" customFormat="1">
      <c r="A929" s="34"/>
      <c r="B929" s="76"/>
      <c r="C929" s="76"/>
      <c r="D929" s="188"/>
      <c r="E929" s="44"/>
      <c r="F929" s="44"/>
      <c r="G929" s="44"/>
      <c r="H929" s="44"/>
      <c r="I929" s="44"/>
      <c r="J929" s="44"/>
      <c r="K929" s="44"/>
      <c r="L929" s="44"/>
      <c r="M929" s="44"/>
      <c r="N929" s="37"/>
      <c r="O929" s="38"/>
      <c r="P929" s="34"/>
      <c r="Q929" s="39"/>
      <c r="R929" s="84"/>
      <c r="S929" s="47"/>
      <c r="T929" s="42"/>
      <c r="U929" s="42"/>
      <c r="W929" s="96"/>
      <c r="X929" s="223"/>
      <c r="Y929" s="98"/>
      <c r="Z929" s="97"/>
      <c r="AA929" s="99"/>
    </row>
    <row r="930" spans="1:27" s="95" customFormat="1">
      <c r="A930" s="34"/>
      <c r="B930" s="76"/>
      <c r="C930" s="76"/>
      <c r="D930" s="188"/>
      <c r="E930" s="44"/>
      <c r="F930" s="44"/>
      <c r="G930" s="44"/>
      <c r="H930" s="44"/>
      <c r="I930" s="44"/>
      <c r="J930" s="44"/>
      <c r="K930" s="44"/>
      <c r="L930" s="44"/>
      <c r="M930" s="44"/>
      <c r="N930" s="37"/>
      <c r="O930" s="38"/>
      <c r="P930" s="34"/>
      <c r="Q930" s="39"/>
      <c r="R930" s="84"/>
      <c r="S930" s="47"/>
      <c r="T930" s="42"/>
      <c r="U930" s="42"/>
      <c r="W930" s="96"/>
      <c r="X930" s="223"/>
      <c r="Y930" s="98"/>
      <c r="Z930" s="97"/>
      <c r="AA930" s="99"/>
    </row>
    <row r="931" spans="1:27" s="95" customFormat="1">
      <c r="A931" s="34"/>
      <c r="B931" s="76"/>
      <c r="C931" s="76"/>
      <c r="D931" s="188"/>
      <c r="E931" s="44"/>
      <c r="F931" s="44"/>
      <c r="G931" s="44"/>
      <c r="H931" s="44"/>
      <c r="I931" s="44"/>
      <c r="J931" s="44"/>
      <c r="K931" s="44"/>
      <c r="L931" s="44"/>
      <c r="M931" s="44"/>
      <c r="N931" s="37"/>
      <c r="O931" s="38"/>
      <c r="P931" s="34"/>
      <c r="Q931" s="39"/>
      <c r="R931" s="84"/>
      <c r="S931" s="47"/>
      <c r="T931" s="42"/>
      <c r="U931" s="42"/>
      <c r="W931" s="96"/>
      <c r="X931" s="223"/>
      <c r="Y931" s="98"/>
      <c r="Z931" s="97"/>
      <c r="AA931" s="99"/>
    </row>
    <row r="932" spans="1:27" s="95" customFormat="1">
      <c r="A932" s="34"/>
      <c r="B932" s="76"/>
      <c r="C932" s="76"/>
      <c r="D932" s="188"/>
      <c r="E932" s="44"/>
      <c r="F932" s="44"/>
      <c r="G932" s="44"/>
      <c r="H932" s="44"/>
      <c r="I932" s="44"/>
      <c r="J932" s="44"/>
      <c r="K932" s="44"/>
      <c r="L932" s="44"/>
      <c r="M932" s="44"/>
      <c r="N932" s="37"/>
      <c r="O932" s="38"/>
      <c r="P932" s="34"/>
      <c r="Q932" s="39"/>
      <c r="R932" s="84"/>
      <c r="S932" s="47"/>
      <c r="T932" s="42"/>
      <c r="U932" s="42"/>
      <c r="W932" s="96"/>
      <c r="X932" s="223"/>
      <c r="Y932" s="98"/>
      <c r="Z932" s="97"/>
      <c r="AA932" s="99"/>
    </row>
    <row r="933" spans="1:27" s="95" customFormat="1">
      <c r="A933" s="34"/>
      <c r="B933" s="76"/>
      <c r="C933" s="76"/>
      <c r="D933" s="188"/>
      <c r="E933" s="44"/>
      <c r="F933" s="44"/>
      <c r="G933" s="44"/>
      <c r="H933" s="44"/>
      <c r="I933" s="44"/>
      <c r="J933" s="44"/>
      <c r="K933" s="44"/>
      <c r="L933" s="44"/>
      <c r="M933" s="44"/>
      <c r="N933" s="37"/>
      <c r="O933" s="38"/>
      <c r="P933" s="34"/>
      <c r="Q933" s="39"/>
      <c r="R933" s="84"/>
      <c r="S933" s="47"/>
      <c r="T933" s="42"/>
      <c r="U933" s="42"/>
      <c r="W933" s="96"/>
      <c r="X933" s="223"/>
      <c r="Y933" s="98"/>
      <c r="Z933" s="97"/>
      <c r="AA933" s="99"/>
    </row>
    <row r="934" spans="1:27" s="95" customFormat="1">
      <c r="A934" s="34"/>
      <c r="B934" s="76"/>
      <c r="C934" s="76"/>
      <c r="D934" s="188"/>
      <c r="E934" s="44"/>
      <c r="F934" s="44"/>
      <c r="G934" s="44"/>
      <c r="H934" s="44"/>
      <c r="I934" s="44"/>
      <c r="J934" s="44"/>
      <c r="K934" s="44"/>
      <c r="L934" s="44"/>
      <c r="M934" s="44"/>
      <c r="N934" s="37"/>
      <c r="O934" s="38"/>
      <c r="P934" s="34"/>
      <c r="Q934" s="39"/>
      <c r="R934" s="84"/>
      <c r="S934" s="47"/>
      <c r="T934" s="42"/>
      <c r="U934" s="42"/>
      <c r="W934" s="96"/>
      <c r="X934" s="223"/>
      <c r="Y934" s="98"/>
      <c r="Z934" s="97"/>
      <c r="AA934" s="99"/>
    </row>
    <row r="935" spans="1:27" s="95" customFormat="1">
      <c r="A935" s="34"/>
      <c r="B935" s="76"/>
      <c r="C935" s="76"/>
      <c r="D935" s="188"/>
      <c r="E935" s="44"/>
      <c r="F935" s="44"/>
      <c r="G935" s="44"/>
      <c r="H935" s="44"/>
      <c r="I935" s="44"/>
      <c r="J935" s="44"/>
      <c r="K935" s="44"/>
      <c r="L935" s="44"/>
      <c r="M935" s="44"/>
      <c r="N935" s="37"/>
      <c r="O935" s="38"/>
      <c r="P935" s="34"/>
      <c r="Q935" s="34"/>
      <c r="R935" s="76"/>
      <c r="S935" s="47"/>
      <c r="T935" s="42"/>
      <c r="U935" s="42"/>
      <c r="W935" s="96"/>
      <c r="X935" s="223"/>
      <c r="Y935" s="98"/>
      <c r="Z935" s="97"/>
      <c r="AA935" s="99"/>
    </row>
    <row r="936" spans="1:27" s="95" customFormat="1">
      <c r="A936" s="34"/>
      <c r="B936" s="76"/>
      <c r="C936" s="76"/>
      <c r="D936" s="188"/>
      <c r="E936" s="44"/>
      <c r="F936" s="44"/>
      <c r="G936" s="44"/>
      <c r="H936" s="44"/>
      <c r="I936" s="44"/>
      <c r="J936" s="44"/>
      <c r="K936" s="44"/>
      <c r="L936" s="44"/>
      <c r="M936" s="44"/>
      <c r="N936" s="37"/>
      <c r="O936" s="38"/>
      <c r="P936" s="34"/>
      <c r="Q936" s="34"/>
      <c r="R936" s="76"/>
      <c r="S936" s="47"/>
      <c r="T936" s="42"/>
      <c r="U936" s="42"/>
      <c r="W936" s="96"/>
      <c r="X936" s="223"/>
      <c r="Y936" s="98"/>
      <c r="Z936" s="97"/>
      <c r="AA936" s="99"/>
    </row>
    <row r="937" spans="1:27" s="95" customFormat="1">
      <c r="A937" s="34"/>
      <c r="B937" s="76"/>
      <c r="C937" s="76"/>
      <c r="D937" s="188"/>
      <c r="E937" s="44"/>
      <c r="F937" s="44"/>
      <c r="G937" s="44"/>
      <c r="H937" s="44"/>
      <c r="I937" s="44"/>
      <c r="J937" s="44"/>
      <c r="K937" s="44"/>
      <c r="L937" s="44"/>
      <c r="M937" s="44"/>
      <c r="N937" s="37"/>
      <c r="O937" s="38"/>
      <c r="P937" s="34"/>
      <c r="Q937" s="34"/>
      <c r="R937" s="76"/>
      <c r="S937" s="47"/>
      <c r="T937" s="42"/>
      <c r="U937" s="42"/>
      <c r="W937" s="96"/>
      <c r="X937" s="223"/>
      <c r="Y937" s="98"/>
      <c r="Z937" s="97"/>
      <c r="AA937" s="99"/>
    </row>
    <row r="938" spans="1:27" s="95" customFormat="1">
      <c r="A938" s="34"/>
      <c r="B938" s="76"/>
      <c r="C938" s="76"/>
      <c r="D938" s="188"/>
      <c r="E938" s="44"/>
      <c r="F938" s="44"/>
      <c r="G938" s="44"/>
      <c r="H938" s="44"/>
      <c r="I938" s="44"/>
      <c r="J938" s="44"/>
      <c r="K938" s="44"/>
      <c r="L938" s="44"/>
      <c r="M938" s="44"/>
      <c r="N938" s="37"/>
      <c r="O938" s="38"/>
      <c r="P938" s="34"/>
      <c r="Q938" s="34"/>
      <c r="R938" s="76"/>
      <c r="S938" s="47"/>
      <c r="T938" s="42"/>
      <c r="U938" s="42"/>
      <c r="W938" s="96"/>
      <c r="X938" s="223"/>
      <c r="Y938" s="98"/>
      <c r="Z938" s="97"/>
      <c r="AA938" s="99"/>
    </row>
    <row r="939" spans="1:27" s="95" customFormat="1">
      <c r="A939" s="34"/>
      <c r="B939" s="76"/>
      <c r="C939" s="76"/>
      <c r="D939" s="188"/>
      <c r="E939" s="44"/>
      <c r="F939" s="44"/>
      <c r="G939" s="44"/>
      <c r="H939" s="44"/>
      <c r="I939" s="44"/>
      <c r="J939" s="44"/>
      <c r="K939" s="44"/>
      <c r="L939" s="44"/>
      <c r="M939" s="44"/>
      <c r="N939" s="37"/>
      <c r="O939" s="38"/>
      <c r="P939" s="34"/>
      <c r="Q939" s="34"/>
      <c r="R939" s="76"/>
      <c r="S939" s="47"/>
      <c r="T939" s="42"/>
      <c r="U939" s="42"/>
      <c r="W939" s="96"/>
      <c r="X939" s="223"/>
      <c r="Y939" s="98"/>
      <c r="Z939" s="97"/>
      <c r="AA939" s="99"/>
    </row>
    <row r="940" spans="1:27" s="95" customFormat="1">
      <c r="A940" s="34"/>
      <c r="B940" s="76"/>
      <c r="C940" s="76"/>
      <c r="D940" s="188"/>
      <c r="E940" s="44"/>
      <c r="F940" s="44"/>
      <c r="G940" s="44"/>
      <c r="H940" s="44"/>
      <c r="I940" s="44"/>
      <c r="J940" s="44"/>
      <c r="K940" s="44"/>
      <c r="L940" s="44"/>
      <c r="M940" s="44"/>
      <c r="N940" s="37"/>
      <c r="O940" s="38"/>
      <c r="P940" s="34"/>
      <c r="Q940" s="34"/>
      <c r="R940" s="76"/>
      <c r="S940" s="47"/>
      <c r="T940" s="42"/>
      <c r="U940" s="42"/>
      <c r="W940" s="96"/>
      <c r="X940" s="223"/>
      <c r="Y940" s="98"/>
      <c r="Z940" s="97"/>
      <c r="AA940" s="99"/>
    </row>
    <row r="941" spans="1:27" s="95" customFormat="1">
      <c r="A941" s="34"/>
      <c r="B941" s="76"/>
      <c r="C941" s="76"/>
      <c r="D941" s="188"/>
      <c r="E941" s="44"/>
      <c r="F941" s="44"/>
      <c r="G941" s="44"/>
      <c r="H941" s="44"/>
      <c r="I941" s="44"/>
      <c r="J941" s="44"/>
      <c r="K941" s="44"/>
      <c r="L941" s="44"/>
      <c r="M941" s="44"/>
      <c r="N941" s="37"/>
      <c r="O941" s="38"/>
      <c r="P941" s="34"/>
      <c r="Q941" s="34"/>
      <c r="R941" s="76"/>
      <c r="S941" s="47"/>
      <c r="T941" s="42"/>
      <c r="U941" s="42"/>
      <c r="W941" s="96"/>
      <c r="X941" s="223"/>
      <c r="Y941" s="98"/>
      <c r="Z941" s="97"/>
      <c r="AA941" s="99"/>
    </row>
    <row r="942" spans="1:27" s="95" customFormat="1">
      <c r="A942" s="34"/>
      <c r="B942" s="76"/>
      <c r="C942" s="76"/>
      <c r="D942" s="188"/>
      <c r="E942" s="44"/>
      <c r="F942" s="44"/>
      <c r="G942" s="44"/>
      <c r="H942" s="44"/>
      <c r="I942" s="44"/>
      <c r="J942" s="44"/>
      <c r="K942" s="44"/>
      <c r="L942" s="44"/>
      <c r="M942" s="44"/>
      <c r="N942" s="37"/>
      <c r="O942" s="38"/>
      <c r="P942" s="34"/>
      <c r="Q942" s="34"/>
      <c r="R942" s="76"/>
      <c r="S942" s="47"/>
      <c r="T942" s="42"/>
      <c r="U942" s="51"/>
      <c r="W942" s="96"/>
      <c r="X942" s="223"/>
      <c r="Y942" s="98"/>
      <c r="Z942" s="97"/>
      <c r="AA942" s="99"/>
    </row>
    <row r="943" spans="1:27" s="95" customFormat="1">
      <c r="A943" s="34"/>
      <c r="B943" s="76"/>
      <c r="C943" s="76"/>
      <c r="D943" s="188"/>
      <c r="E943" s="44"/>
      <c r="F943" s="44"/>
      <c r="G943" s="44"/>
      <c r="H943" s="44"/>
      <c r="I943" s="44"/>
      <c r="J943" s="44"/>
      <c r="K943" s="44"/>
      <c r="L943" s="44"/>
      <c r="M943" s="44"/>
      <c r="N943" s="37"/>
      <c r="O943" s="38"/>
      <c r="P943" s="34"/>
      <c r="Q943" s="34"/>
      <c r="R943" s="76"/>
      <c r="S943" s="47"/>
      <c r="T943" s="42"/>
      <c r="U943" s="147"/>
      <c r="W943" s="96"/>
      <c r="X943" s="223"/>
      <c r="Y943" s="98"/>
      <c r="Z943" s="97"/>
      <c r="AA943" s="99"/>
    </row>
    <row r="944" spans="1:27" s="95" customFormat="1">
      <c r="A944" s="34"/>
      <c r="B944" s="76"/>
      <c r="C944" s="76"/>
      <c r="D944" s="188"/>
      <c r="E944" s="44"/>
      <c r="F944" s="44"/>
      <c r="G944" s="44"/>
      <c r="H944" s="44"/>
      <c r="I944" s="44"/>
      <c r="J944" s="44"/>
      <c r="K944" s="44"/>
      <c r="L944" s="44"/>
      <c r="M944" s="44"/>
      <c r="N944" s="37"/>
      <c r="O944" s="38"/>
      <c r="P944" s="34"/>
      <c r="Q944" s="34"/>
      <c r="R944" s="76"/>
      <c r="S944" s="47"/>
      <c r="T944" s="42"/>
      <c r="U944" s="147"/>
      <c r="W944" s="96"/>
      <c r="X944" s="223"/>
      <c r="Y944" s="98"/>
      <c r="Z944" s="97"/>
      <c r="AA944" s="99"/>
    </row>
    <row r="945" spans="1:27" s="95" customFormat="1">
      <c r="A945" s="34"/>
      <c r="B945" s="76"/>
      <c r="C945" s="76"/>
      <c r="D945" s="188"/>
      <c r="E945" s="44"/>
      <c r="F945" s="44"/>
      <c r="G945" s="44"/>
      <c r="H945" s="44"/>
      <c r="I945" s="44"/>
      <c r="J945" s="44"/>
      <c r="K945" s="44"/>
      <c r="L945" s="44"/>
      <c r="M945" s="44"/>
      <c r="N945" s="37"/>
      <c r="O945" s="38"/>
      <c r="P945" s="34"/>
      <c r="Q945" s="34"/>
      <c r="R945" s="76"/>
      <c r="S945" s="47"/>
      <c r="T945" s="42"/>
      <c r="U945" s="147"/>
      <c r="W945" s="96"/>
      <c r="X945" s="223"/>
      <c r="Y945" s="98"/>
      <c r="Z945" s="97"/>
      <c r="AA945" s="99"/>
    </row>
    <row r="946" spans="1:27" s="95" customFormat="1">
      <c r="A946" s="34"/>
      <c r="B946" s="76"/>
      <c r="C946" s="76"/>
      <c r="D946" s="188"/>
      <c r="E946" s="44"/>
      <c r="F946" s="44"/>
      <c r="G946" s="44"/>
      <c r="H946" s="44"/>
      <c r="I946" s="44"/>
      <c r="J946" s="44"/>
      <c r="K946" s="44"/>
      <c r="L946" s="44"/>
      <c r="M946" s="44"/>
      <c r="N946" s="37"/>
      <c r="O946" s="38"/>
      <c r="P946" s="34"/>
      <c r="Q946" s="34"/>
      <c r="R946" s="76"/>
      <c r="S946" s="47"/>
      <c r="T946" s="42"/>
      <c r="U946" s="147"/>
      <c r="W946" s="96"/>
      <c r="X946" s="223"/>
      <c r="Y946" s="98"/>
      <c r="Z946" s="97"/>
      <c r="AA946" s="99"/>
    </row>
    <row r="947" spans="1:27" s="95" customFormat="1">
      <c r="A947" s="34"/>
      <c r="B947" s="76"/>
      <c r="C947" s="76"/>
      <c r="D947" s="188"/>
      <c r="E947" s="44"/>
      <c r="F947" s="44"/>
      <c r="G947" s="44"/>
      <c r="H947" s="44"/>
      <c r="I947" s="44"/>
      <c r="J947" s="44"/>
      <c r="K947" s="44"/>
      <c r="L947" s="44"/>
      <c r="M947" s="44"/>
      <c r="N947" s="37"/>
      <c r="O947" s="38"/>
      <c r="P947" s="34"/>
      <c r="Q947" s="34"/>
      <c r="R947" s="76"/>
      <c r="S947" s="47"/>
      <c r="T947" s="42"/>
      <c r="U947" s="147"/>
      <c r="W947" s="96"/>
      <c r="X947" s="223"/>
      <c r="Y947" s="98"/>
      <c r="Z947" s="97"/>
      <c r="AA947" s="99"/>
    </row>
    <row r="948" spans="1:27" s="95" customFormat="1">
      <c r="A948" s="34"/>
      <c r="B948" s="76"/>
      <c r="C948" s="76"/>
      <c r="D948" s="188"/>
      <c r="E948" s="44"/>
      <c r="F948" s="44"/>
      <c r="G948" s="44"/>
      <c r="H948" s="44"/>
      <c r="I948" s="44"/>
      <c r="J948" s="44"/>
      <c r="K948" s="44"/>
      <c r="L948" s="44"/>
      <c r="M948" s="44"/>
      <c r="N948" s="37"/>
      <c r="O948" s="38"/>
      <c r="P948" s="34"/>
      <c r="Q948" s="34"/>
      <c r="R948" s="76"/>
      <c r="S948" s="47"/>
      <c r="T948" s="42"/>
      <c r="U948" s="147"/>
      <c r="W948" s="96"/>
      <c r="X948" s="223"/>
      <c r="Y948" s="98"/>
      <c r="Z948" s="97"/>
      <c r="AA948" s="99"/>
    </row>
    <row r="949" spans="1:27" s="95" customFormat="1">
      <c r="A949" s="34"/>
      <c r="B949" s="76"/>
      <c r="C949" s="76"/>
      <c r="D949" s="188"/>
      <c r="E949" s="44"/>
      <c r="F949" s="44"/>
      <c r="G949" s="44"/>
      <c r="H949" s="44"/>
      <c r="I949" s="44"/>
      <c r="J949" s="44"/>
      <c r="K949" s="44"/>
      <c r="L949" s="44"/>
      <c r="M949" s="44"/>
      <c r="N949" s="37"/>
      <c r="O949" s="38"/>
      <c r="P949" s="34"/>
      <c r="Q949" s="34"/>
      <c r="R949" s="76"/>
      <c r="S949" s="47"/>
      <c r="T949" s="42"/>
      <c r="U949" s="147"/>
      <c r="W949" s="96"/>
      <c r="X949" s="223"/>
      <c r="Y949" s="98"/>
      <c r="Z949" s="97"/>
      <c r="AA949" s="99"/>
    </row>
    <row r="950" spans="1:27" s="95" customFormat="1">
      <c r="A950" s="34"/>
      <c r="B950" s="76"/>
      <c r="C950" s="76"/>
      <c r="D950" s="188"/>
      <c r="E950" s="44"/>
      <c r="F950" s="44"/>
      <c r="G950" s="44"/>
      <c r="H950" s="44"/>
      <c r="I950" s="44"/>
      <c r="J950" s="44"/>
      <c r="K950" s="44"/>
      <c r="L950" s="44"/>
      <c r="M950" s="44"/>
      <c r="N950" s="37"/>
      <c r="O950" s="38"/>
      <c r="P950" s="34"/>
      <c r="Q950" s="34"/>
      <c r="R950" s="76"/>
      <c r="S950" s="47"/>
      <c r="T950" s="42"/>
      <c r="U950" s="147"/>
      <c r="W950" s="96"/>
      <c r="X950" s="223"/>
      <c r="Y950" s="98"/>
      <c r="Z950" s="97"/>
      <c r="AA950" s="99"/>
    </row>
    <row r="951" spans="1:27" s="95" customFormat="1">
      <c r="A951" s="34"/>
      <c r="B951" s="76"/>
      <c r="C951" s="76"/>
      <c r="D951" s="188"/>
      <c r="E951" s="44"/>
      <c r="F951" s="44"/>
      <c r="G951" s="44"/>
      <c r="H951" s="44"/>
      <c r="I951" s="44"/>
      <c r="J951" s="44"/>
      <c r="K951" s="44"/>
      <c r="L951" s="44"/>
      <c r="M951" s="44"/>
      <c r="N951" s="37"/>
      <c r="O951" s="38"/>
      <c r="P951" s="34"/>
      <c r="Q951" s="34"/>
      <c r="R951" s="76"/>
      <c r="S951" s="47"/>
      <c r="T951" s="42"/>
      <c r="U951" s="147"/>
      <c r="W951" s="96"/>
      <c r="X951" s="223"/>
      <c r="Y951" s="98"/>
      <c r="Z951" s="97"/>
      <c r="AA951" s="99"/>
    </row>
    <row r="952" spans="1:27" s="95" customFormat="1">
      <c r="A952" s="34"/>
      <c r="B952" s="76"/>
      <c r="C952" s="76"/>
      <c r="D952" s="188"/>
      <c r="E952" s="44"/>
      <c r="F952" s="44"/>
      <c r="G952" s="44"/>
      <c r="H952" s="44"/>
      <c r="I952" s="44"/>
      <c r="J952" s="44"/>
      <c r="K952" s="44"/>
      <c r="L952" s="44"/>
      <c r="M952" s="44"/>
      <c r="N952" s="37"/>
      <c r="O952" s="38"/>
      <c r="P952" s="34"/>
      <c r="Q952" s="34"/>
      <c r="R952" s="76"/>
      <c r="S952" s="47"/>
      <c r="T952" s="42"/>
      <c r="U952" s="147"/>
      <c r="W952" s="96"/>
      <c r="X952" s="223"/>
      <c r="Y952" s="98"/>
      <c r="Z952" s="97"/>
      <c r="AA952" s="99"/>
    </row>
    <row r="953" spans="1:27" s="95" customFormat="1">
      <c r="A953" s="34"/>
      <c r="B953" s="76"/>
      <c r="C953" s="76"/>
      <c r="D953" s="188"/>
      <c r="E953" s="44"/>
      <c r="F953" s="44"/>
      <c r="G953" s="44"/>
      <c r="H953" s="44"/>
      <c r="I953" s="44"/>
      <c r="J953" s="44"/>
      <c r="K953" s="44"/>
      <c r="L953" s="44"/>
      <c r="M953" s="44"/>
      <c r="N953" s="37"/>
      <c r="O953" s="38"/>
      <c r="P953" s="34"/>
      <c r="Q953" s="34"/>
      <c r="R953" s="76"/>
      <c r="S953" s="47"/>
      <c r="T953" s="42"/>
      <c r="U953" s="147"/>
      <c r="W953" s="96"/>
      <c r="X953" s="223"/>
      <c r="Y953" s="98"/>
      <c r="Z953" s="97"/>
      <c r="AA953" s="99"/>
    </row>
    <row r="954" spans="1:27" s="95" customFormat="1">
      <c r="A954" s="34"/>
      <c r="B954" s="76"/>
      <c r="C954" s="76"/>
      <c r="D954" s="188"/>
      <c r="E954" s="44"/>
      <c r="F954" s="44"/>
      <c r="G954" s="44"/>
      <c r="H954" s="44"/>
      <c r="I954" s="44"/>
      <c r="J954" s="44"/>
      <c r="K954" s="44"/>
      <c r="L954" s="44"/>
      <c r="M954" s="44"/>
      <c r="N954" s="37"/>
      <c r="O954" s="38"/>
      <c r="P954" s="34"/>
      <c r="Q954" s="34"/>
      <c r="R954" s="76"/>
      <c r="S954" s="47"/>
      <c r="T954" s="42"/>
      <c r="U954" s="147"/>
      <c r="W954" s="96"/>
      <c r="X954" s="223"/>
      <c r="Y954" s="98"/>
      <c r="Z954" s="97"/>
      <c r="AA954" s="99"/>
    </row>
    <row r="955" spans="1:27" s="95" customFormat="1">
      <c r="A955" s="34"/>
      <c r="B955" s="76"/>
      <c r="C955" s="76"/>
      <c r="D955" s="188"/>
      <c r="E955" s="44"/>
      <c r="F955" s="44"/>
      <c r="G955" s="44"/>
      <c r="H955" s="44"/>
      <c r="I955" s="44"/>
      <c r="J955" s="44"/>
      <c r="K955" s="44"/>
      <c r="L955" s="44"/>
      <c r="M955" s="44"/>
      <c r="N955" s="37"/>
      <c r="O955" s="38"/>
      <c r="P955" s="34"/>
      <c r="Q955" s="34"/>
      <c r="R955" s="76"/>
      <c r="S955" s="47"/>
      <c r="T955" s="42"/>
      <c r="U955" s="147"/>
      <c r="W955" s="96"/>
      <c r="X955" s="223"/>
      <c r="Y955" s="98"/>
      <c r="Z955" s="97"/>
      <c r="AA955" s="99"/>
    </row>
    <row r="956" spans="1:27" s="95" customFormat="1">
      <c r="A956" s="34"/>
      <c r="B956" s="76"/>
      <c r="C956" s="76"/>
      <c r="D956" s="188"/>
      <c r="E956" s="44"/>
      <c r="F956" s="44"/>
      <c r="G956" s="44"/>
      <c r="H956" s="44"/>
      <c r="I956" s="44"/>
      <c r="J956" s="44"/>
      <c r="K956" s="44"/>
      <c r="L956" s="44"/>
      <c r="M956" s="44"/>
      <c r="N956" s="37"/>
      <c r="O956" s="38"/>
      <c r="P956" s="34"/>
      <c r="Q956" s="34"/>
      <c r="R956" s="76"/>
      <c r="S956" s="47"/>
      <c r="T956" s="42"/>
      <c r="U956" s="147"/>
      <c r="W956" s="96"/>
      <c r="X956" s="223"/>
      <c r="Y956" s="98"/>
      <c r="Z956" s="97"/>
      <c r="AA956" s="99"/>
    </row>
    <row r="957" spans="1:27" s="95" customFormat="1">
      <c r="A957" s="34"/>
      <c r="B957" s="76"/>
      <c r="C957" s="76"/>
      <c r="D957" s="188"/>
      <c r="E957" s="44"/>
      <c r="F957" s="44"/>
      <c r="G957" s="44"/>
      <c r="H957" s="44"/>
      <c r="I957" s="44"/>
      <c r="J957" s="44"/>
      <c r="K957" s="44"/>
      <c r="L957" s="44"/>
      <c r="M957" s="44"/>
      <c r="N957" s="37"/>
      <c r="O957" s="38"/>
      <c r="P957" s="34"/>
      <c r="Q957" s="34"/>
      <c r="R957" s="76"/>
      <c r="S957" s="47"/>
      <c r="T957" s="42"/>
      <c r="U957" s="147"/>
      <c r="W957" s="96"/>
      <c r="X957" s="223"/>
      <c r="Y957" s="98"/>
      <c r="Z957" s="97"/>
      <c r="AA957" s="99"/>
    </row>
    <row r="958" spans="1:27" s="95" customFormat="1">
      <c r="A958" s="34"/>
      <c r="B958" s="76"/>
      <c r="C958" s="76"/>
      <c r="D958" s="188"/>
      <c r="E958" s="44"/>
      <c r="F958" s="44"/>
      <c r="G958" s="44"/>
      <c r="H958" s="44"/>
      <c r="I958" s="44"/>
      <c r="J958" s="44"/>
      <c r="K958" s="44"/>
      <c r="L958" s="44"/>
      <c r="M958" s="44"/>
      <c r="N958" s="37"/>
      <c r="O958" s="38"/>
      <c r="P958" s="34"/>
      <c r="Q958" s="34"/>
      <c r="R958" s="76"/>
      <c r="S958" s="47"/>
      <c r="T958" s="42"/>
      <c r="U958" s="147"/>
      <c r="W958" s="96"/>
      <c r="X958" s="223"/>
      <c r="Y958" s="98"/>
      <c r="Z958" s="97"/>
      <c r="AA958" s="99"/>
    </row>
    <row r="959" spans="1:27" s="95" customFormat="1">
      <c r="A959" s="34"/>
      <c r="B959" s="76"/>
      <c r="C959" s="76"/>
      <c r="D959" s="188"/>
      <c r="E959" s="44"/>
      <c r="F959" s="44"/>
      <c r="G959" s="44"/>
      <c r="H959" s="44"/>
      <c r="I959" s="44"/>
      <c r="J959" s="44"/>
      <c r="K959" s="44"/>
      <c r="L959" s="44"/>
      <c r="M959" s="44"/>
      <c r="N959" s="37"/>
      <c r="O959" s="38"/>
      <c r="P959" s="34"/>
      <c r="Q959" s="34"/>
      <c r="R959" s="76"/>
      <c r="S959" s="47"/>
      <c r="T959" s="42"/>
      <c r="U959" s="147"/>
      <c r="W959" s="96"/>
      <c r="X959" s="223"/>
      <c r="Y959" s="98"/>
      <c r="Z959" s="97"/>
      <c r="AA959" s="99"/>
    </row>
    <row r="960" spans="1:27" s="95" customFormat="1">
      <c r="A960" s="34"/>
      <c r="B960" s="76"/>
      <c r="C960" s="76"/>
      <c r="D960" s="188"/>
      <c r="E960" s="44"/>
      <c r="F960" s="44"/>
      <c r="G960" s="44"/>
      <c r="H960" s="44"/>
      <c r="I960" s="44"/>
      <c r="J960" s="44"/>
      <c r="K960" s="44"/>
      <c r="L960" s="44"/>
      <c r="M960" s="44"/>
      <c r="N960" s="37"/>
      <c r="O960" s="38"/>
      <c r="P960" s="34"/>
      <c r="Q960" s="34"/>
      <c r="R960" s="76"/>
      <c r="S960" s="47"/>
      <c r="T960" s="42"/>
      <c r="U960" s="147"/>
      <c r="W960" s="96"/>
      <c r="X960" s="223"/>
      <c r="Y960" s="98"/>
      <c r="Z960" s="97"/>
      <c r="AA960" s="99"/>
    </row>
    <row r="961" spans="1:27" s="95" customFormat="1">
      <c r="A961" s="34"/>
      <c r="B961" s="76"/>
      <c r="C961" s="76"/>
      <c r="D961" s="188"/>
      <c r="E961" s="44"/>
      <c r="F961" s="44"/>
      <c r="G961" s="44"/>
      <c r="H961" s="44"/>
      <c r="I961" s="44"/>
      <c r="J961" s="44"/>
      <c r="K961" s="44"/>
      <c r="L961" s="44"/>
      <c r="M961" s="44"/>
      <c r="N961" s="37"/>
      <c r="O961" s="38"/>
      <c r="P961" s="34"/>
      <c r="Q961" s="34"/>
      <c r="R961" s="76"/>
      <c r="S961" s="47"/>
      <c r="T961" s="42"/>
      <c r="U961" s="147"/>
      <c r="W961" s="96"/>
      <c r="X961" s="223"/>
      <c r="Y961" s="98"/>
      <c r="Z961" s="97"/>
      <c r="AA961" s="99"/>
    </row>
    <row r="962" spans="1:27" s="95" customFormat="1">
      <c r="A962" s="34"/>
      <c r="B962" s="76"/>
      <c r="C962" s="76"/>
      <c r="D962" s="188"/>
      <c r="E962" s="44"/>
      <c r="F962" s="44"/>
      <c r="G962" s="44"/>
      <c r="H962" s="44"/>
      <c r="I962" s="44"/>
      <c r="J962" s="44"/>
      <c r="K962" s="44"/>
      <c r="L962" s="44"/>
      <c r="M962" s="44"/>
      <c r="N962" s="37"/>
      <c r="O962" s="38"/>
      <c r="P962" s="34"/>
      <c r="Q962" s="34"/>
      <c r="R962" s="76"/>
      <c r="S962" s="47"/>
      <c r="T962" s="42"/>
      <c r="U962" s="147"/>
      <c r="W962" s="96"/>
      <c r="X962" s="223"/>
      <c r="Y962" s="98"/>
      <c r="Z962" s="97"/>
      <c r="AA962" s="99"/>
    </row>
    <row r="963" spans="1:27" s="95" customFormat="1">
      <c r="A963" s="34"/>
      <c r="B963" s="76"/>
      <c r="C963" s="76"/>
      <c r="D963" s="188"/>
      <c r="E963" s="44"/>
      <c r="F963" s="44"/>
      <c r="G963" s="44"/>
      <c r="H963" s="44"/>
      <c r="I963" s="44"/>
      <c r="J963" s="44"/>
      <c r="K963" s="44"/>
      <c r="L963" s="44"/>
      <c r="M963" s="44"/>
      <c r="N963" s="37"/>
      <c r="O963" s="38"/>
      <c r="P963" s="34"/>
      <c r="Q963" s="34"/>
      <c r="R963" s="76"/>
      <c r="S963" s="47"/>
      <c r="T963" s="42"/>
      <c r="U963" s="147"/>
      <c r="W963" s="96"/>
      <c r="X963" s="223"/>
      <c r="Y963" s="98"/>
      <c r="Z963" s="97"/>
      <c r="AA963" s="99"/>
    </row>
    <row r="964" spans="1:27" s="95" customFormat="1">
      <c r="A964" s="34"/>
      <c r="B964" s="76"/>
      <c r="C964" s="76"/>
      <c r="D964" s="188"/>
      <c r="E964" s="44"/>
      <c r="F964" s="44"/>
      <c r="G964" s="44"/>
      <c r="H964" s="44"/>
      <c r="I964" s="44"/>
      <c r="J964" s="44"/>
      <c r="K964" s="44"/>
      <c r="L964" s="44"/>
      <c r="M964" s="44"/>
      <c r="N964" s="37"/>
      <c r="O964" s="38"/>
      <c r="P964" s="34"/>
      <c r="Q964" s="34"/>
      <c r="R964" s="76"/>
      <c r="S964" s="47"/>
      <c r="T964" s="42"/>
      <c r="U964" s="147"/>
      <c r="W964" s="96"/>
      <c r="X964" s="223"/>
      <c r="Y964" s="98"/>
      <c r="Z964" s="97"/>
      <c r="AA964" s="99"/>
    </row>
    <row r="965" spans="1:27" s="95" customFormat="1">
      <c r="A965" s="34"/>
      <c r="B965" s="76"/>
      <c r="C965" s="76"/>
      <c r="D965" s="188"/>
      <c r="E965" s="44"/>
      <c r="F965" s="44"/>
      <c r="G965" s="44"/>
      <c r="H965" s="44"/>
      <c r="I965" s="44"/>
      <c r="J965" s="44"/>
      <c r="K965" s="44"/>
      <c r="L965" s="44"/>
      <c r="M965" s="44"/>
      <c r="N965" s="37"/>
      <c r="O965" s="38"/>
      <c r="P965" s="34"/>
      <c r="Q965" s="34"/>
      <c r="R965" s="76"/>
      <c r="S965" s="47"/>
      <c r="T965" s="42"/>
      <c r="U965" s="147"/>
      <c r="W965" s="96"/>
      <c r="X965" s="223"/>
      <c r="Y965" s="98"/>
      <c r="Z965" s="97"/>
      <c r="AA965" s="99"/>
    </row>
    <row r="966" spans="1:27" s="95" customFormat="1">
      <c r="A966" s="34"/>
      <c r="B966" s="76"/>
      <c r="C966" s="76"/>
      <c r="D966" s="188"/>
      <c r="E966" s="44"/>
      <c r="F966" s="44"/>
      <c r="G966" s="44"/>
      <c r="H966" s="44"/>
      <c r="I966" s="44"/>
      <c r="J966" s="44"/>
      <c r="K966" s="44"/>
      <c r="L966" s="44"/>
      <c r="M966" s="44"/>
      <c r="N966" s="37"/>
      <c r="O966" s="38"/>
      <c r="P966" s="34"/>
      <c r="Q966" s="39"/>
      <c r="R966" s="84"/>
      <c r="S966" s="47"/>
      <c r="T966" s="42"/>
      <c r="U966" s="147"/>
      <c r="W966" s="96"/>
      <c r="X966" s="223"/>
      <c r="Y966" s="98"/>
      <c r="Z966" s="97"/>
      <c r="AA966" s="99"/>
    </row>
    <row r="967" spans="1:27" s="95" customFormat="1">
      <c r="A967" s="34"/>
      <c r="B967" s="76"/>
      <c r="C967" s="76"/>
      <c r="D967" s="188"/>
      <c r="E967" s="44"/>
      <c r="F967" s="44"/>
      <c r="G967" s="44"/>
      <c r="H967" s="44"/>
      <c r="I967" s="44"/>
      <c r="J967" s="44"/>
      <c r="K967" s="44"/>
      <c r="L967" s="44"/>
      <c r="M967" s="44"/>
      <c r="N967" s="37"/>
      <c r="O967" s="38"/>
      <c r="P967" s="34"/>
      <c r="Q967" s="39"/>
      <c r="R967" s="84"/>
      <c r="S967" s="47"/>
      <c r="T967" s="42"/>
      <c r="U967" s="147"/>
      <c r="W967" s="96"/>
      <c r="X967" s="223"/>
      <c r="Y967" s="98"/>
      <c r="Z967" s="97"/>
      <c r="AA967" s="99"/>
    </row>
    <row r="968" spans="1:27" s="95" customFormat="1">
      <c r="A968" s="34"/>
      <c r="B968" s="76"/>
      <c r="C968" s="76"/>
      <c r="D968" s="188"/>
      <c r="E968" s="44"/>
      <c r="F968" s="44"/>
      <c r="G968" s="44"/>
      <c r="H968" s="44"/>
      <c r="I968" s="44"/>
      <c r="J968" s="44"/>
      <c r="K968" s="44"/>
      <c r="L968" s="44"/>
      <c r="M968" s="44"/>
      <c r="N968" s="37"/>
      <c r="O968" s="38"/>
      <c r="P968" s="34"/>
      <c r="Q968" s="39"/>
      <c r="R968" s="84"/>
      <c r="S968" s="47"/>
      <c r="T968" s="42"/>
      <c r="U968" s="147"/>
      <c r="W968" s="96"/>
      <c r="X968" s="223"/>
      <c r="Y968" s="98"/>
      <c r="Z968" s="97"/>
      <c r="AA968" s="99"/>
    </row>
    <row r="969" spans="1:27" s="95" customFormat="1">
      <c r="A969" s="34"/>
      <c r="B969" s="76"/>
      <c r="C969" s="76"/>
      <c r="D969" s="188"/>
      <c r="E969" s="44"/>
      <c r="F969" s="44"/>
      <c r="G969" s="44"/>
      <c r="H969" s="44"/>
      <c r="I969" s="44"/>
      <c r="J969" s="44"/>
      <c r="K969" s="44"/>
      <c r="L969" s="44"/>
      <c r="M969" s="44"/>
      <c r="N969" s="37"/>
      <c r="O969" s="38"/>
      <c r="P969" s="34"/>
      <c r="Q969" s="39"/>
      <c r="R969" s="84"/>
      <c r="S969" s="47"/>
      <c r="T969" s="42"/>
      <c r="U969" s="147"/>
      <c r="W969" s="96"/>
      <c r="X969" s="223"/>
      <c r="Y969" s="98"/>
      <c r="Z969" s="97"/>
      <c r="AA969" s="99"/>
    </row>
    <row r="970" spans="1:27" s="95" customFormat="1">
      <c r="A970" s="34"/>
      <c r="B970" s="76"/>
      <c r="C970" s="76"/>
      <c r="D970" s="188"/>
      <c r="E970" s="44"/>
      <c r="F970" s="44"/>
      <c r="G970" s="44"/>
      <c r="H970" s="44"/>
      <c r="I970" s="44"/>
      <c r="J970" s="44"/>
      <c r="K970" s="44"/>
      <c r="L970" s="44"/>
      <c r="M970" s="44"/>
      <c r="N970" s="37"/>
      <c r="O970" s="38"/>
      <c r="P970" s="34"/>
      <c r="Q970" s="39"/>
      <c r="R970" s="84"/>
      <c r="S970" s="47"/>
      <c r="T970" s="42"/>
      <c r="U970" s="147"/>
      <c r="W970" s="96"/>
      <c r="X970" s="223"/>
      <c r="Y970" s="98"/>
      <c r="Z970" s="97"/>
      <c r="AA970" s="99"/>
    </row>
    <row r="971" spans="1:27" s="95" customFormat="1">
      <c r="A971" s="34"/>
      <c r="B971" s="76"/>
      <c r="C971" s="76"/>
      <c r="D971" s="188"/>
      <c r="E971" s="44"/>
      <c r="F971" s="44"/>
      <c r="G971" s="44"/>
      <c r="H971" s="44"/>
      <c r="I971" s="44"/>
      <c r="J971" s="44"/>
      <c r="K971" s="44"/>
      <c r="L971" s="44"/>
      <c r="M971" s="44"/>
      <c r="N971" s="37"/>
      <c r="O971" s="38"/>
      <c r="P971" s="34"/>
      <c r="Q971" s="39"/>
      <c r="R971" s="84"/>
      <c r="S971" s="47"/>
      <c r="T971" s="42"/>
      <c r="U971" s="147"/>
      <c r="W971" s="96"/>
      <c r="X971" s="223"/>
      <c r="Y971" s="98"/>
      <c r="Z971" s="97"/>
      <c r="AA971" s="99"/>
    </row>
    <row r="972" spans="1:27" s="95" customFormat="1">
      <c r="A972" s="34"/>
      <c r="B972" s="76"/>
      <c r="C972" s="76"/>
      <c r="D972" s="188"/>
      <c r="E972" s="44"/>
      <c r="F972" s="44"/>
      <c r="G972" s="44"/>
      <c r="H972" s="44"/>
      <c r="I972" s="44"/>
      <c r="J972" s="44"/>
      <c r="K972" s="44"/>
      <c r="L972" s="44"/>
      <c r="M972" s="44"/>
      <c r="N972" s="37"/>
      <c r="O972" s="38"/>
      <c r="P972" s="34"/>
      <c r="Q972" s="39"/>
      <c r="R972" s="84"/>
      <c r="S972" s="47"/>
      <c r="T972" s="42"/>
      <c r="U972" s="147"/>
      <c r="W972" s="96"/>
      <c r="X972" s="223"/>
      <c r="Y972" s="98"/>
      <c r="Z972" s="97"/>
      <c r="AA972" s="99"/>
    </row>
    <row r="973" spans="1:27" s="95" customFormat="1">
      <c r="A973" s="34"/>
      <c r="B973" s="76"/>
      <c r="C973" s="76"/>
      <c r="D973" s="188"/>
      <c r="E973" s="44"/>
      <c r="F973" s="44"/>
      <c r="G973" s="44"/>
      <c r="H973" s="44"/>
      <c r="I973" s="44"/>
      <c r="J973" s="44"/>
      <c r="K973" s="44"/>
      <c r="L973" s="44"/>
      <c r="M973" s="44"/>
      <c r="N973" s="37"/>
      <c r="O973" s="38"/>
      <c r="P973" s="34"/>
      <c r="Q973" s="39"/>
      <c r="R973" s="84"/>
      <c r="S973" s="47"/>
      <c r="T973" s="42"/>
      <c r="U973" s="147"/>
      <c r="W973" s="96"/>
      <c r="X973" s="223"/>
      <c r="Y973" s="98"/>
      <c r="Z973" s="97"/>
      <c r="AA973" s="99"/>
    </row>
    <row r="974" spans="1:27" s="95" customFormat="1">
      <c r="A974" s="34"/>
      <c r="B974" s="76"/>
      <c r="C974" s="76"/>
      <c r="D974" s="188"/>
      <c r="E974" s="44"/>
      <c r="F974" s="44"/>
      <c r="G974" s="44"/>
      <c r="H974" s="44"/>
      <c r="I974" s="44"/>
      <c r="J974" s="44"/>
      <c r="K974" s="44"/>
      <c r="L974" s="44"/>
      <c r="M974" s="44"/>
      <c r="N974" s="37"/>
      <c r="O974" s="38"/>
      <c r="P974" s="34"/>
      <c r="Q974" s="39"/>
      <c r="R974" s="84"/>
      <c r="S974" s="47"/>
      <c r="T974" s="42"/>
      <c r="U974" s="147"/>
      <c r="W974" s="96"/>
      <c r="X974" s="223"/>
      <c r="Y974" s="98"/>
      <c r="Z974" s="97"/>
      <c r="AA974" s="99"/>
    </row>
    <row r="975" spans="1:27" s="95" customFormat="1">
      <c r="A975" s="34"/>
      <c r="B975" s="76"/>
      <c r="C975" s="76"/>
      <c r="D975" s="188"/>
      <c r="E975" s="44"/>
      <c r="F975" s="44"/>
      <c r="G975" s="44"/>
      <c r="H975" s="44"/>
      <c r="I975" s="44"/>
      <c r="J975" s="44"/>
      <c r="K975" s="44"/>
      <c r="L975" s="44"/>
      <c r="M975" s="44"/>
      <c r="N975" s="37"/>
      <c r="O975" s="38"/>
      <c r="P975" s="34"/>
      <c r="Q975" s="39"/>
      <c r="R975" s="84"/>
      <c r="S975" s="47"/>
      <c r="T975" s="42"/>
      <c r="U975" s="147"/>
      <c r="W975" s="96"/>
      <c r="X975" s="223"/>
      <c r="Y975" s="98"/>
      <c r="Z975" s="97"/>
      <c r="AA975" s="99"/>
    </row>
    <row r="976" spans="1:27" s="95" customFormat="1">
      <c r="A976" s="34"/>
      <c r="B976" s="76"/>
      <c r="C976" s="76"/>
      <c r="D976" s="188"/>
      <c r="E976" s="44"/>
      <c r="F976" s="44"/>
      <c r="G976" s="44"/>
      <c r="H976" s="44"/>
      <c r="I976" s="44"/>
      <c r="J976" s="44"/>
      <c r="K976" s="44"/>
      <c r="L976" s="44"/>
      <c r="M976" s="44"/>
      <c r="N976" s="37"/>
      <c r="O976" s="38"/>
      <c r="P976" s="34"/>
      <c r="Q976" s="39"/>
      <c r="R976" s="84"/>
      <c r="S976" s="47"/>
      <c r="T976" s="42"/>
      <c r="U976" s="147"/>
      <c r="W976" s="96"/>
      <c r="X976" s="223"/>
      <c r="Y976" s="98"/>
      <c r="Z976" s="97"/>
      <c r="AA976" s="99"/>
    </row>
    <row r="977" spans="1:27" s="95" customFormat="1">
      <c r="A977" s="34"/>
      <c r="B977" s="76"/>
      <c r="C977" s="76"/>
      <c r="D977" s="188"/>
      <c r="E977" s="44"/>
      <c r="F977" s="44"/>
      <c r="G977" s="44"/>
      <c r="H977" s="44"/>
      <c r="I977" s="44"/>
      <c r="J977" s="44"/>
      <c r="K977" s="44"/>
      <c r="L977" s="44"/>
      <c r="M977" s="44"/>
      <c r="N977" s="37"/>
      <c r="O977" s="38"/>
      <c r="P977" s="34"/>
      <c r="Q977" s="39"/>
      <c r="R977" s="84"/>
      <c r="S977" s="47"/>
      <c r="T977" s="42"/>
      <c r="U977" s="147"/>
      <c r="W977" s="96"/>
      <c r="X977" s="223"/>
      <c r="Y977" s="98"/>
      <c r="Z977" s="97"/>
      <c r="AA977" s="99"/>
    </row>
    <row r="978" spans="1:27" s="95" customFormat="1">
      <c r="A978" s="34"/>
      <c r="B978" s="76"/>
      <c r="C978" s="76"/>
      <c r="D978" s="188"/>
      <c r="E978" s="44"/>
      <c r="F978" s="44"/>
      <c r="G978" s="44"/>
      <c r="H978" s="44"/>
      <c r="I978" s="44"/>
      <c r="J978" s="44"/>
      <c r="K978" s="44"/>
      <c r="L978" s="44"/>
      <c r="M978" s="44"/>
      <c r="N978" s="37"/>
      <c r="O978" s="38"/>
      <c r="P978" s="34"/>
      <c r="Q978" s="39"/>
      <c r="R978" s="84"/>
      <c r="S978" s="47"/>
      <c r="T978" s="42"/>
      <c r="U978" s="147"/>
      <c r="W978" s="96"/>
      <c r="X978" s="223"/>
      <c r="Y978" s="98"/>
      <c r="Z978" s="97"/>
      <c r="AA978" s="99"/>
    </row>
    <row r="979" spans="1:27" s="95" customFormat="1">
      <c r="A979" s="34"/>
      <c r="B979" s="76"/>
      <c r="C979" s="76"/>
      <c r="D979" s="188"/>
      <c r="E979" s="44"/>
      <c r="F979" s="44"/>
      <c r="G979" s="44"/>
      <c r="H979" s="44"/>
      <c r="I979" s="44"/>
      <c r="J979" s="44"/>
      <c r="K979" s="44"/>
      <c r="L979" s="44"/>
      <c r="M979" s="44"/>
      <c r="N979" s="37"/>
      <c r="O979" s="38"/>
      <c r="P979" s="34"/>
      <c r="Q979" s="39"/>
      <c r="R979" s="84"/>
      <c r="S979" s="47"/>
      <c r="T979" s="42"/>
      <c r="U979" s="147"/>
      <c r="W979" s="96"/>
      <c r="X979" s="223"/>
      <c r="Y979" s="98"/>
      <c r="Z979" s="97"/>
      <c r="AA979" s="99"/>
    </row>
    <row r="980" spans="1:27" s="95" customFormat="1">
      <c r="A980" s="34"/>
      <c r="B980" s="76"/>
      <c r="C980" s="76"/>
      <c r="D980" s="188"/>
      <c r="E980" s="44"/>
      <c r="F980" s="44"/>
      <c r="G980" s="44"/>
      <c r="H980" s="44"/>
      <c r="I980" s="44"/>
      <c r="J980" s="44"/>
      <c r="K980" s="44"/>
      <c r="L980" s="44"/>
      <c r="M980" s="44"/>
      <c r="N980" s="37"/>
      <c r="O980" s="38"/>
      <c r="P980" s="34"/>
      <c r="Q980" s="39"/>
      <c r="R980" s="84"/>
      <c r="S980" s="47"/>
      <c r="T980" s="42"/>
      <c r="U980" s="147"/>
      <c r="W980" s="96"/>
      <c r="X980" s="223"/>
      <c r="Y980" s="98"/>
      <c r="Z980" s="97"/>
      <c r="AA980" s="99"/>
    </row>
    <row r="981" spans="1:27" s="95" customFormat="1">
      <c r="A981" s="34"/>
      <c r="B981" s="76"/>
      <c r="C981" s="76"/>
      <c r="D981" s="188"/>
      <c r="E981" s="44"/>
      <c r="F981" s="44"/>
      <c r="G981" s="44"/>
      <c r="H981" s="44"/>
      <c r="I981" s="44"/>
      <c r="J981" s="44"/>
      <c r="K981" s="44"/>
      <c r="L981" s="44"/>
      <c r="M981" s="44"/>
      <c r="N981" s="37"/>
      <c r="O981" s="38"/>
      <c r="P981" s="34"/>
      <c r="Q981" s="39"/>
      <c r="R981" s="84"/>
      <c r="S981" s="47"/>
      <c r="T981" s="42"/>
      <c r="U981" s="147"/>
      <c r="W981" s="96"/>
      <c r="X981" s="223"/>
      <c r="Y981" s="98"/>
      <c r="Z981" s="97"/>
      <c r="AA981" s="99"/>
    </row>
    <row r="982" spans="1:27" s="95" customFormat="1">
      <c r="A982" s="34"/>
      <c r="B982" s="76"/>
      <c r="C982" s="76"/>
      <c r="D982" s="188"/>
      <c r="E982" s="44"/>
      <c r="F982" s="44"/>
      <c r="G982" s="44"/>
      <c r="H982" s="44"/>
      <c r="I982" s="44"/>
      <c r="J982" s="44"/>
      <c r="K982" s="44"/>
      <c r="L982" s="44"/>
      <c r="M982" s="44"/>
      <c r="N982" s="37"/>
      <c r="O982" s="38"/>
      <c r="P982" s="34"/>
      <c r="Q982" s="39"/>
      <c r="R982" s="84"/>
      <c r="S982" s="47"/>
      <c r="T982" s="42"/>
      <c r="U982" s="147"/>
      <c r="W982" s="96"/>
      <c r="X982" s="223"/>
      <c r="Y982" s="98"/>
      <c r="Z982" s="97"/>
      <c r="AA982" s="99"/>
    </row>
    <row r="983" spans="1:27" s="95" customFormat="1">
      <c r="A983" s="34"/>
      <c r="B983" s="76"/>
      <c r="C983" s="76"/>
      <c r="D983" s="188"/>
      <c r="E983" s="44"/>
      <c r="F983" s="44"/>
      <c r="G983" s="44"/>
      <c r="H983" s="44"/>
      <c r="I983" s="44"/>
      <c r="J983" s="44"/>
      <c r="K983" s="44"/>
      <c r="L983" s="44"/>
      <c r="M983" s="44"/>
      <c r="N983" s="37"/>
      <c r="O983" s="38"/>
      <c r="P983" s="34"/>
      <c r="Q983" s="39"/>
      <c r="R983" s="84"/>
      <c r="S983" s="47"/>
      <c r="T983" s="42"/>
      <c r="U983" s="147"/>
      <c r="W983" s="96"/>
      <c r="X983" s="223"/>
      <c r="Y983" s="98"/>
      <c r="Z983" s="97"/>
      <c r="AA983" s="99"/>
    </row>
    <row r="984" spans="1:27" s="95" customFormat="1">
      <c r="A984" s="34"/>
      <c r="B984" s="76"/>
      <c r="C984" s="76"/>
      <c r="D984" s="188"/>
      <c r="E984" s="44"/>
      <c r="F984" s="44"/>
      <c r="G984" s="44"/>
      <c r="H984" s="44"/>
      <c r="I984" s="44"/>
      <c r="J984" s="44"/>
      <c r="K984" s="44"/>
      <c r="L984" s="44"/>
      <c r="M984" s="44"/>
      <c r="N984" s="37"/>
      <c r="O984" s="38"/>
      <c r="P984" s="34"/>
      <c r="Q984" s="39"/>
      <c r="R984" s="84"/>
      <c r="S984" s="47"/>
      <c r="T984" s="42"/>
      <c r="U984" s="147"/>
      <c r="W984" s="96"/>
      <c r="X984" s="223"/>
      <c r="Y984" s="98"/>
      <c r="Z984" s="97"/>
      <c r="AA984" s="99"/>
    </row>
    <row r="985" spans="1:27" s="95" customFormat="1">
      <c r="A985" s="34"/>
      <c r="B985" s="76"/>
      <c r="C985" s="76"/>
      <c r="D985" s="188"/>
      <c r="E985" s="44"/>
      <c r="F985" s="44"/>
      <c r="G985" s="44"/>
      <c r="H985" s="44"/>
      <c r="I985" s="44"/>
      <c r="J985" s="44"/>
      <c r="K985" s="44"/>
      <c r="L985" s="44"/>
      <c r="M985" s="44"/>
      <c r="N985" s="37"/>
      <c r="O985" s="38"/>
      <c r="P985" s="34"/>
      <c r="Q985" s="39"/>
      <c r="R985" s="84"/>
      <c r="S985" s="47"/>
      <c r="T985" s="42"/>
      <c r="U985" s="147"/>
      <c r="W985" s="96"/>
      <c r="X985" s="223"/>
      <c r="Y985" s="98"/>
      <c r="Z985" s="97"/>
      <c r="AA985" s="99"/>
    </row>
    <row r="986" spans="1:27" s="95" customFormat="1">
      <c r="A986" s="34"/>
      <c r="B986" s="76"/>
      <c r="C986" s="76"/>
      <c r="D986" s="188"/>
      <c r="E986" s="44"/>
      <c r="F986" s="44"/>
      <c r="G986" s="44"/>
      <c r="H986" s="44"/>
      <c r="I986" s="44"/>
      <c r="J986" s="44"/>
      <c r="K986" s="44"/>
      <c r="L986" s="44"/>
      <c r="M986" s="44"/>
      <c r="N986" s="37"/>
      <c r="O986" s="38"/>
      <c r="P986" s="34"/>
      <c r="Q986" s="39"/>
      <c r="R986" s="84"/>
      <c r="S986" s="47"/>
      <c r="T986" s="42"/>
      <c r="U986" s="147"/>
      <c r="W986" s="96"/>
      <c r="X986" s="223"/>
      <c r="Y986" s="98"/>
      <c r="Z986" s="97"/>
      <c r="AA986" s="99"/>
    </row>
    <row r="987" spans="1:27" s="95" customFormat="1">
      <c r="A987" s="34"/>
      <c r="B987" s="76"/>
      <c r="C987" s="76"/>
      <c r="D987" s="188"/>
      <c r="E987" s="44"/>
      <c r="F987" s="44"/>
      <c r="G987" s="44"/>
      <c r="H987" s="44"/>
      <c r="I987" s="44"/>
      <c r="J987" s="44"/>
      <c r="K987" s="44"/>
      <c r="L987" s="44"/>
      <c r="M987" s="44"/>
      <c r="N987" s="37"/>
      <c r="O987" s="38"/>
      <c r="P987" s="34"/>
      <c r="Q987" s="34"/>
      <c r="R987" s="76"/>
      <c r="S987" s="47"/>
      <c r="T987" s="42"/>
      <c r="U987" s="147"/>
      <c r="W987" s="96"/>
      <c r="X987" s="223"/>
      <c r="Y987" s="98"/>
      <c r="Z987" s="97"/>
      <c r="AA987" s="99"/>
    </row>
    <row r="988" spans="1:27" s="95" customFormat="1">
      <c r="A988" s="34"/>
      <c r="B988" s="76"/>
      <c r="C988" s="76"/>
      <c r="D988" s="188"/>
      <c r="E988" s="44"/>
      <c r="F988" s="44"/>
      <c r="G988" s="44"/>
      <c r="H988" s="44"/>
      <c r="I988" s="44"/>
      <c r="J988" s="44"/>
      <c r="K988" s="44"/>
      <c r="L988" s="44"/>
      <c r="M988" s="44"/>
      <c r="N988" s="37"/>
      <c r="O988" s="38"/>
      <c r="P988" s="34"/>
      <c r="Q988" s="34"/>
      <c r="R988" s="76"/>
      <c r="S988" s="47"/>
      <c r="T988" s="42"/>
      <c r="U988" s="147"/>
      <c r="W988" s="96"/>
      <c r="X988" s="223"/>
      <c r="Y988" s="98"/>
      <c r="Z988" s="97"/>
      <c r="AA988" s="99"/>
    </row>
    <row r="989" spans="1:27" s="95" customFormat="1">
      <c r="A989" s="34"/>
      <c r="B989" s="76"/>
      <c r="C989" s="76"/>
      <c r="D989" s="188"/>
      <c r="E989" s="44"/>
      <c r="F989" s="44"/>
      <c r="G989" s="44"/>
      <c r="H989" s="44"/>
      <c r="I989" s="44"/>
      <c r="J989" s="44"/>
      <c r="K989" s="44"/>
      <c r="L989" s="44"/>
      <c r="M989" s="44"/>
      <c r="N989" s="37"/>
      <c r="O989" s="38"/>
      <c r="P989" s="34"/>
      <c r="Q989" s="34"/>
      <c r="R989" s="76"/>
      <c r="S989" s="47"/>
      <c r="T989" s="42"/>
      <c r="U989" s="147"/>
      <c r="W989" s="96"/>
      <c r="X989" s="223"/>
      <c r="Y989" s="98"/>
      <c r="Z989" s="97"/>
      <c r="AA989" s="99"/>
    </row>
    <row r="990" spans="1:27" s="95" customFormat="1">
      <c r="A990" s="34"/>
      <c r="B990" s="76"/>
      <c r="C990" s="76"/>
      <c r="D990" s="188"/>
      <c r="E990" s="44"/>
      <c r="F990" s="44"/>
      <c r="G990" s="44"/>
      <c r="H990" s="44"/>
      <c r="I990" s="44"/>
      <c r="J990" s="44"/>
      <c r="K990" s="44"/>
      <c r="L990" s="44"/>
      <c r="M990" s="44"/>
      <c r="N990" s="37"/>
      <c r="O990" s="38"/>
      <c r="P990" s="34"/>
      <c r="Q990" s="34"/>
      <c r="R990" s="76"/>
      <c r="S990" s="47"/>
      <c r="T990" s="42"/>
      <c r="U990" s="147"/>
      <c r="W990" s="96"/>
      <c r="X990" s="223"/>
      <c r="Y990" s="98"/>
      <c r="Z990" s="97"/>
      <c r="AA990" s="99"/>
    </row>
    <row r="991" spans="1:27" s="95" customFormat="1">
      <c r="A991" s="34"/>
      <c r="B991" s="76"/>
      <c r="C991" s="76"/>
      <c r="D991" s="188"/>
      <c r="E991" s="44"/>
      <c r="F991" s="44"/>
      <c r="G991" s="44"/>
      <c r="H991" s="44"/>
      <c r="I991" s="44"/>
      <c r="J991" s="44"/>
      <c r="K991" s="44"/>
      <c r="L991" s="44"/>
      <c r="M991" s="44"/>
      <c r="N991" s="37"/>
      <c r="O991" s="38"/>
      <c r="P991" s="34"/>
      <c r="Q991" s="34"/>
      <c r="R991" s="76"/>
      <c r="S991" s="47"/>
      <c r="T991" s="42"/>
      <c r="U991" s="147"/>
      <c r="W991" s="96"/>
      <c r="X991" s="223"/>
      <c r="Y991" s="98"/>
      <c r="Z991" s="97"/>
      <c r="AA991" s="99"/>
    </row>
    <row r="992" spans="1:27" s="95" customFormat="1">
      <c r="A992" s="34"/>
      <c r="B992" s="76"/>
      <c r="C992" s="76"/>
      <c r="D992" s="188"/>
      <c r="E992" s="44"/>
      <c r="F992" s="44"/>
      <c r="G992" s="44"/>
      <c r="H992" s="44"/>
      <c r="I992" s="44"/>
      <c r="J992" s="44"/>
      <c r="K992" s="44"/>
      <c r="L992" s="44"/>
      <c r="M992" s="44"/>
      <c r="N992" s="37"/>
      <c r="O992" s="38"/>
      <c r="P992" s="34"/>
      <c r="Q992" s="34"/>
      <c r="R992" s="76"/>
      <c r="S992" s="47"/>
      <c r="T992" s="42"/>
      <c r="U992" s="147"/>
      <c r="W992" s="96"/>
      <c r="X992" s="223"/>
      <c r="Y992" s="98"/>
      <c r="Z992" s="97"/>
      <c r="AA992" s="99"/>
    </row>
    <row r="993" spans="1:27" s="95" customFormat="1">
      <c r="A993" s="34"/>
      <c r="B993" s="76"/>
      <c r="C993" s="76"/>
      <c r="D993" s="188"/>
      <c r="E993" s="44"/>
      <c r="F993" s="44"/>
      <c r="G993" s="44"/>
      <c r="H993" s="44"/>
      <c r="I993" s="44"/>
      <c r="J993" s="44"/>
      <c r="K993" s="44"/>
      <c r="L993" s="44"/>
      <c r="M993" s="44"/>
      <c r="N993" s="37"/>
      <c r="O993" s="38"/>
      <c r="P993" s="34"/>
      <c r="Q993" s="34"/>
      <c r="R993" s="76"/>
      <c r="S993" s="47"/>
      <c r="T993" s="42"/>
      <c r="U993" s="147"/>
      <c r="W993" s="96"/>
      <c r="X993" s="223"/>
      <c r="Y993" s="98"/>
      <c r="Z993" s="97"/>
      <c r="AA993" s="99"/>
    </row>
    <row r="994" spans="1:27" s="95" customFormat="1">
      <c r="A994" s="34"/>
      <c r="B994" s="76"/>
      <c r="C994" s="76"/>
      <c r="D994" s="188"/>
      <c r="E994" s="44"/>
      <c r="F994" s="44"/>
      <c r="G994" s="44"/>
      <c r="H994" s="44"/>
      <c r="I994" s="44"/>
      <c r="J994" s="44"/>
      <c r="K994" s="44"/>
      <c r="L994" s="44"/>
      <c r="M994" s="44"/>
      <c r="N994" s="37"/>
      <c r="O994" s="38"/>
      <c r="P994" s="34"/>
      <c r="Q994" s="34"/>
      <c r="R994" s="76"/>
      <c r="S994" s="47"/>
      <c r="T994" s="42"/>
      <c r="U994" s="147"/>
      <c r="W994" s="96"/>
      <c r="X994" s="223"/>
      <c r="Y994" s="98"/>
      <c r="Z994" s="97"/>
      <c r="AA994" s="99"/>
    </row>
    <row r="995" spans="1:27" s="95" customFormat="1">
      <c r="A995" s="34"/>
      <c r="B995" s="76"/>
      <c r="C995" s="76"/>
      <c r="D995" s="188"/>
      <c r="E995" s="44"/>
      <c r="F995" s="44"/>
      <c r="G995" s="44"/>
      <c r="H995" s="44"/>
      <c r="I995" s="44"/>
      <c r="J995" s="44"/>
      <c r="K995" s="44"/>
      <c r="L995" s="44"/>
      <c r="M995" s="44"/>
      <c r="N995" s="37"/>
      <c r="O995" s="38"/>
      <c r="P995" s="34"/>
      <c r="Q995" s="34"/>
      <c r="R995" s="76"/>
      <c r="S995" s="47"/>
      <c r="T995" s="42"/>
      <c r="U995" s="147"/>
      <c r="W995" s="96"/>
      <c r="X995" s="223"/>
      <c r="Y995" s="98"/>
      <c r="Z995" s="97"/>
      <c r="AA995" s="99"/>
    </row>
    <row r="996" spans="1:27" s="95" customFormat="1">
      <c r="A996" s="34"/>
      <c r="B996" s="76"/>
      <c r="C996" s="76"/>
      <c r="D996" s="188"/>
      <c r="E996" s="44"/>
      <c r="F996" s="44"/>
      <c r="G996" s="44"/>
      <c r="H996" s="44"/>
      <c r="I996" s="44"/>
      <c r="J996" s="44"/>
      <c r="K996" s="44"/>
      <c r="L996" s="44"/>
      <c r="M996" s="44"/>
      <c r="N996" s="37"/>
      <c r="O996" s="38"/>
      <c r="P996" s="34"/>
      <c r="Q996" s="34"/>
      <c r="R996" s="76"/>
      <c r="S996" s="47"/>
      <c r="T996" s="42"/>
      <c r="U996" s="147"/>
      <c r="W996" s="96"/>
      <c r="X996" s="223"/>
      <c r="Y996" s="98"/>
      <c r="Z996" s="97"/>
      <c r="AA996" s="99"/>
    </row>
    <row r="997" spans="1:27" s="95" customFormat="1">
      <c r="A997" s="34"/>
      <c r="B997" s="76"/>
      <c r="C997" s="76"/>
      <c r="D997" s="188"/>
      <c r="E997" s="44"/>
      <c r="F997" s="44"/>
      <c r="G997" s="44"/>
      <c r="H997" s="44"/>
      <c r="I997" s="44"/>
      <c r="J997" s="44"/>
      <c r="K997" s="44"/>
      <c r="L997" s="44"/>
      <c r="M997" s="44"/>
      <c r="N997" s="37"/>
      <c r="O997" s="38"/>
      <c r="P997" s="34"/>
      <c r="Q997" s="34"/>
      <c r="R997" s="76"/>
      <c r="S997" s="47"/>
      <c r="T997" s="42"/>
      <c r="U997" s="147"/>
      <c r="W997" s="96"/>
      <c r="X997" s="223"/>
      <c r="Y997" s="98"/>
      <c r="Z997" s="97"/>
      <c r="AA997" s="99"/>
    </row>
    <row r="998" spans="1:27" s="95" customFormat="1">
      <c r="A998" s="34"/>
      <c r="B998" s="76"/>
      <c r="C998" s="76"/>
      <c r="D998" s="188"/>
      <c r="E998" s="44"/>
      <c r="F998" s="44"/>
      <c r="G998" s="44"/>
      <c r="H998" s="44"/>
      <c r="I998" s="44"/>
      <c r="J998" s="44"/>
      <c r="K998" s="44"/>
      <c r="L998" s="44"/>
      <c r="M998" s="44"/>
      <c r="N998" s="37"/>
      <c r="O998" s="38"/>
      <c r="P998" s="34"/>
      <c r="Q998" s="34"/>
      <c r="R998" s="76"/>
      <c r="S998" s="47"/>
      <c r="T998" s="42"/>
      <c r="U998" s="147"/>
      <c r="W998" s="96"/>
      <c r="X998" s="223"/>
      <c r="Y998" s="98"/>
      <c r="Z998" s="97"/>
      <c r="AA998" s="99"/>
    </row>
    <row r="999" spans="1:27" s="95" customFormat="1">
      <c r="A999" s="34"/>
      <c r="B999" s="76"/>
      <c r="C999" s="76"/>
      <c r="D999" s="188"/>
      <c r="E999" s="44"/>
      <c r="F999" s="44"/>
      <c r="G999" s="44"/>
      <c r="H999" s="44"/>
      <c r="I999" s="44"/>
      <c r="J999" s="44"/>
      <c r="K999" s="44"/>
      <c r="L999" s="44"/>
      <c r="M999" s="44"/>
      <c r="N999" s="37"/>
      <c r="O999" s="38"/>
      <c r="P999" s="34"/>
      <c r="Q999" s="34"/>
      <c r="R999" s="76"/>
      <c r="S999" s="47"/>
      <c r="T999" s="42"/>
      <c r="U999" s="147"/>
      <c r="W999" s="96"/>
      <c r="X999" s="223"/>
      <c r="Y999" s="98"/>
      <c r="Z999" s="97"/>
      <c r="AA999" s="99"/>
    </row>
    <row r="1000" spans="1:27" s="95" customFormat="1">
      <c r="A1000" s="34"/>
      <c r="B1000" s="76"/>
      <c r="C1000" s="76"/>
      <c r="D1000" s="188"/>
      <c r="E1000" s="44"/>
      <c r="F1000" s="44"/>
      <c r="G1000" s="44"/>
      <c r="H1000" s="44"/>
      <c r="I1000" s="44"/>
      <c r="J1000" s="44"/>
      <c r="K1000" s="44"/>
      <c r="L1000" s="44"/>
      <c r="M1000" s="44"/>
      <c r="N1000" s="37"/>
      <c r="O1000" s="38"/>
      <c r="P1000" s="34"/>
      <c r="Q1000" s="34"/>
      <c r="R1000" s="76"/>
      <c r="S1000" s="47"/>
      <c r="T1000" s="42"/>
      <c r="U1000" s="147"/>
      <c r="W1000" s="96"/>
      <c r="X1000" s="223"/>
      <c r="Y1000" s="98"/>
      <c r="Z1000" s="97"/>
      <c r="AA1000" s="99"/>
    </row>
    <row r="1001" spans="1:27" s="95" customFormat="1">
      <c r="A1001" s="34"/>
      <c r="B1001" s="76"/>
      <c r="C1001" s="76"/>
      <c r="D1001" s="188"/>
      <c r="E1001" s="44"/>
      <c r="F1001" s="44"/>
      <c r="G1001" s="44"/>
      <c r="H1001" s="44"/>
      <c r="I1001" s="44"/>
      <c r="J1001" s="44"/>
      <c r="K1001" s="44"/>
      <c r="L1001" s="44"/>
      <c r="M1001" s="44"/>
      <c r="N1001" s="37"/>
      <c r="O1001" s="38"/>
      <c r="P1001" s="34"/>
      <c r="Q1001" s="34"/>
      <c r="R1001" s="76"/>
      <c r="S1001" s="47"/>
      <c r="T1001" s="42"/>
      <c r="U1001" s="147"/>
      <c r="W1001" s="96"/>
      <c r="X1001" s="223"/>
      <c r="Y1001" s="98"/>
      <c r="Z1001" s="97"/>
      <c r="AA1001" s="99"/>
    </row>
    <row r="1002" spans="1:27" s="95" customFormat="1">
      <c r="A1002" s="34"/>
      <c r="B1002" s="76"/>
      <c r="C1002" s="76"/>
      <c r="D1002" s="188"/>
      <c r="E1002" s="44"/>
      <c r="F1002" s="44"/>
      <c r="G1002" s="44"/>
      <c r="H1002" s="44"/>
      <c r="I1002" s="44"/>
      <c r="J1002" s="44"/>
      <c r="K1002" s="44"/>
      <c r="L1002" s="44"/>
      <c r="M1002" s="44"/>
      <c r="N1002" s="37"/>
      <c r="O1002" s="38"/>
      <c r="P1002" s="34"/>
      <c r="Q1002" s="34"/>
      <c r="R1002" s="76"/>
      <c r="S1002" s="47"/>
      <c r="T1002" s="42"/>
      <c r="U1002" s="147"/>
      <c r="W1002" s="96"/>
      <c r="X1002" s="223"/>
      <c r="Y1002" s="98"/>
      <c r="Z1002" s="97"/>
      <c r="AA1002" s="99"/>
    </row>
    <row r="1003" spans="1:27" s="95" customFormat="1">
      <c r="A1003" s="34"/>
      <c r="B1003" s="76"/>
      <c r="C1003" s="76"/>
      <c r="D1003" s="188"/>
      <c r="E1003" s="44"/>
      <c r="F1003" s="44"/>
      <c r="G1003" s="44"/>
      <c r="H1003" s="44"/>
      <c r="I1003" s="44"/>
      <c r="J1003" s="44"/>
      <c r="K1003" s="44"/>
      <c r="L1003" s="44"/>
      <c r="M1003" s="44"/>
      <c r="N1003" s="37"/>
      <c r="O1003" s="38"/>
      <c r="P1003" s="34"/>
      <c r="Q1003" s="34"/>
      <c r="R1003" s="76"/>
      <c r="S1003" s="47"/>
      <c r="T1003" s="42"/>
      <c r="U1003" s="147"/>
      <c r="W1003" s="96"/>
      <c r="X1003" s="223"/>
      <c r="Y1003" s="98"/>
      <c r="Z1003" s="97"/>
      <c r="AA1003" s="99"/>
    </row>
    <row r="1004" spans="1:27" s="95" customFormat="1">
      <c r="A1004" s="34"/>
      <c r="B1004" s="76"/>
      <c r="C1004" s="76"/>
      <c r="D1004" s="188"/>
      <c r="E1004" s="44"/>
      <c r="F1004" s="44"/>
      <c r="G1004" s="44"/>
      <c r="H1004" s="44"/>
      <c r="I1004" s="44"/>
      <c r="J1004" s="44"/>
      <c r="K1004" s="44"/>
      <c r="L1004" s="44"/>
      <c r="M1004" s="44"/>
      <c r="N1004" s="37"/>
      <c r="O1004" s="38"/>
      <c r="P1004" s="34"/>
      <c r="Q1004" s="34"/>
      <c r="R1004" s="76"/>
      <c r="S1004" s="47"/>
      <c r="T1004" s="42"/>
      <c r="U1004" s="147"/>
      <c r="W1004" s="96"/>
      <c r="X1004" s="223"/>
      <c r="Y1004" s="98"/>
      <c r="Z1004" s="97"/>
      <c r="AA1004" s="99"/>
    </row>
    <row r="1005" spans="1:27" s="95" customFormat="1">
      <c r="A1005" s="34"/>
      <c r="B1005" s="76"/>
      <c r="C1005" s="76"/>
      <c r="D1005" s="188"/>
      <c r="E1005" s="44"/>
      <c r="F1005" s="44"/>
      <c r="G1005" s="44"/>
      <c r="H1005" s="44"/>
      <c r="I1005" s="44"/>
      <c r="J1005" s="44"/>
      <c r="K1005" s="44"/>
      <c r="L1005" s="44"/>
      <c r="M1005" s="44"/>
      <c r="N1005" s="37"/>
      <c r="O1005" s="38"/>
      <c r="P1005" s="34"/>
      <c r="Q1005" s="34"/>
      <c r="R1005" s="76"/>
      <c r="S1005" s="47"/>
      <c r="T1005" s="42"/>
      <c r="U1005" s="147"/>
      <c r="W1005" s="96"/>
      <c r="X1005" s="223"/>
      <c r="Y1005" s="98"/>
      <c r="Z1005" s="97"/>
      <c r="AA1005" s="99"/>
    </row>
    <row r="1006" spans="1:27" s="95" customFormat="1">
      <c r="A1006" s="34"/>
      <c r="B1006" s="76"/>
      <c r="C1006" s="76"/>
      <c r="D1006" s="188"/>
      <c r="E1006" s="44"/>
      <c r="F1006" s="44"/>
      <c r="G1006" s="44"/>
      <c r="H1006" s="44"/>
      <c r="I1006" s="44"/>
      <c r="J1006" s="44"/>
      <c r="K1006" s="44"/>
      <c r="L1006" s="44"/>
      <c r="M1006" s="44"/>
      <c r="N1006" s="37"/>
      <c r="O1006" s="38"/>
      <c r="P1006" s="34"/>
      <c r="Q1006" s="34"/>
      <c r="R1006" s="76"/>
      <c r="S1006" s="47"/>
      <c r="T1006" s="42"/>
      <c r="U1006" s="147"/>
      <c r="W1006" s="96"/>
      <c r="X1006" s="223"/>
      <c r="Y1006" s="98"/>
      <c r="Z1006" s="97"/>
      <c r="AA1006" s="99"/>
    </row>
    <row r="1007" spans="1:27" s="95" customFormat="1">
      <c r="A1007" s="34"/>
      <c r="B1007" s="76"/>
      <c r="C1007" s="76"/>
      <c r="D1007" s="188"/>
      <c r="E1007" s="44"/>
      <c r="F1007" s="44"/>
      <c r="G1007" s="44"/>
      <c r="H1007" s="44"/>
      <c r="I1007" s="44"/>
      <c r="J1007" s="44"/>
      <c r="K1007" s="44"/>
      <c r="L1007" s="44"/>
      <c r="M1007" s="44"/>
      <c r="N1007" s="37"/>
      <c r="O1007" s="38"/>
      <c r="P1007" s="34"/>
      <c r="Q1007" s="34"/>
      <c r="R1007" s="76"/>
      <c r="S1007" s="47"/>
      <c r="T1007" s="42"/>
      <c r="U1007" s="147"/>
      <c r="W1007" s="96"/>
      <c r="X1007" s="223"/>
      <c r="Y1007" s="98"/>
      <c r="Z1007" s="97"/>
      <c r="AA1007" s="99"/>
    </row>
    <row r="1008" spans="1:27" s="95" customFormat="1">
      <c r="A1008" s="34"/>
      <c r="B1008" s="76"/>
      <c r="C1008" s="76"/>
      <c r="D1008" s="188"/>
      <c r="E1008" s="44"/>
      <c r="F1008" s="44"/>
      <c r="G1008" s="44"/>
      <c r="H1008" s="44"/>
      <c r="I1008" s="44"/>
      <c r="J1008" s="44"/>
      <c r="K1008" s="44"/>
      <c r="L1008" s="44"/>
      <c r="M1008" s="44"/>
      <c r="N1008" s="37"/>
      <c r="O1008" s="38"/>
      <c r="P1008" s="34"/>
      <c r="Q1008" s="34"/>
      <c r="R1008" s="76"/>
      <c r="S1008" s="47"/>
      <c r="T1008" s="42"/>
      <c r="U1008" s="147"/>
      <c r="W1008" s="96"/>
      <c r="X1008" s="223"/>
      <c r="Y1008" s="98"/>
      <c r="Z1008" s="97"/>
      <c r="AA1008" s="99"/>
    </row>
    <row r="1009" spans="1:27" s="95" customFormat="1">
      <c r="A1009" s="34"/>
      <c r="B1009" s="76"/>
      <c r="C1009" s="76"/>
      <c r="D1009" s="188"/>
      <c r="E1009" s="44"/>
      <c r="F1009" s="44"/>
      <c r="G1009" s="44"/>
      <c r="H1009" s="44"/>
      <c r="I1009" s="44"/>
      <c r="J1009" s="44"/>
      <c r="K1009" s="44"/>
      <c r="L1009" s="44"/>
      <c r="M1009" s="44"/>
      <c r="N1009" s="37"/>
      <c r="O1009" s="38"/>
      <c r="P1009" s="34"/>
      <c r="Q1009" s="34"/>
      <c r="R1009" s="76"/>
      <c r="S1009" s="47"/>
      <c r="T1009" s="42"/>
      <c r="U1009" s="147"/>
      <c r="W1009" s="96"/>
      <c r="X1009" s="223"/>
      <c r="Y1009" s="98"/>
      <c r="Z1009" s="97"/>
      <c r="AA1009" s="99"/>
    </row>
    <row r="1010" spans="1:27" s="95" customFormat="1">
      <c r="A1010" s="34"/>
      <c r="B1010" s="76"/>
      <c r="C1010" s="76"/>
      <c r="D1010" s="188"/>
      <c r="E1010" s="44"/>
      <c r="F1010" s="44"/>
      <c r="G1010" s="44"/>
      <c r="H1010" s="44"/>
      <c r="I1010" s="44"/>
      <c r="J1010" s="44"/>
      <c r="K1010" s="44"/>
      <c r="L1010" s="44"/>
      <c r="M1010" s="44"/>
      <c r="N1010" s="37"/>
      <c r="O1010" s="38"/>
      <c r="P1010" s="34"/>
      <c r="Q1010" s="34"/>
      <c r="R1010" s="76"/>
      <c r="S1010" s="47"/>
      <c r="T1010" s="42"/>
      <c r="U1010" s="147"/>
      <c r="W1010" s="96"/>
      <c r="X1010" s="223"/>
      <c r="Y1010" s="98"/>
      <c r="Z1010" s="97"/>
      <c r="AA1010" s="99"/>
    </row>
    <row r="1011" spans="1:27" s="95" customFormat="1">
      <c r="A1011" s="34"/>
      <c r="B1011" s="76"/>
      <c r="C1011" s="76"/>
      <c r="D1011" s="188"/>
      <c r="E1011" s="44"/>
      <c r="F1011" s="44"/>
      <c r="G1011" s="44"/>
      <c r="H1011" s="44"/>
      <c r="I1011" s="44"/>
      <c r="J1011" s="44"/>
      <c r="K1011" s="44"/>
      <c r="L1011" s="44"/>
      <c r="M1011" s="44"/>
      <c r="N1011" s="37"/>
      <c r="O1011" s="38"/>
      <c r="P1011" s="34"/>
      <c r="Q1011" s="34"/>
      <c r="R1011" s="76"/>
      <c r="S1011" s="47"/>
      <c r="T1011" s="42"/>
      <c r="U1011" s="147"/>
      <c r="W1011" s="96"/>
      <c r="X1011" s="223"/>
      <c r="Y1011" s="98"/>
      <c r="Z1011" s="97"/>
      <c r="AA1011" s="99"/>
    </row>
    <row r="1012" spans="1:27" s="95" customFormat="1">
      <c r="A1012" s="34"/>
      <c r="B1012" s="76"/>
      <c r="C1012" s="76"/>
      <c r="D1012" s="188"/>
      <c r="E1012" s="44"/>
      <c r="F1012" s="44"/>
      <c r="G1012" s="44"/>
      <c r="H1012" s="44"/>
      <c r="I1012" s="44"/>
      <c r="J1012" s="44"/>
      <c r="K1012" s="44"/>
      <c r="L1012" s="44"/>
      <c r="M1012" s="44"/>
      <c r="N1012" s="37"/>
      <c r="O1012" s="38"/>
      <c r="P1012" s="34"/>
      <c r="Q1012" s="34"/>
      <c r="R1012" s="76"/>
      <c r="S1012" s="47"/>
      <c r="T1012" s="42"/>
      <c r="U1012" s="147"/>
      <c r="W1012" s="96"/>
      <c r="X1012" s="223"/>
      <c r="Y1012" s="98"/>
      <c r="Z1012" s="97"/>
      <c r="AA1012" s="99"/>
    </row>
    <row r="1013" spans="1:27" s="95" customFormat="1">
      <c r="A1013" s="34"/>
      <c r="B1013" s="76"/>
      <c r="C1013" s="76"/>
      <c r="D1013" s="188"/>
      <c r="E1013" s="44"/>
      <c r="F1013" s="44"/>
      <c r="G1013" s="44"/>
      <c r="H1013" s="44"/>
      <c r="I1013" s="44"/>
      <c r="J1013" s="44"/>
      <c r="K1013" s="44"/>
      <c r="L1013" s="44"/>
      <c r="M1013" s="44"/>
      <c r="N1013" s="37"/>
      <c r="O1013" s="38"/>
      <c r="P1013" s="34"/>
      <c r="Q1013" s="34"/>
      <c r="R1013" s="76"/>
      <c r="S1013" s="47"/>
      <c r="T1013" s="42"/>
      <c r="U1013" s="147"/>
      <c r="W1013" s="96"/>
      <c r="X1013" s="223"/>
      <c r="Y1013" s="98"/>
      <c r="Z1013" s="97"/>
      <c r="AA1013" s="99"/>
    </row>
    <row r="1014" spans="1:27" s="95" customFormat="1">
      <c r="A1014" s="34"/>
      <c r="B1014" s="76"/>
      <c r="C1014" s="76"/>
      <c r="D1014" s="188"/>
      <c r="E1014" s="44"/>
      <c r="F1014" s="44"/>
      <c r="G1014" s="44"/>
      <c r="H1014" s="44"/>
      <c r="I1014" s="44"/>
      <c r="J1014" s="44"/>
      <c r="K1014" s="44"/>
      <c r="L1014" s="44"/>
      <c r="M1014" s="44"/>
      <c r="N1014" s="37"/>
      <c r="O1014" s="38"/>
      <c r="P1014" s="34"/>
      <c r="Q1014" s="34"/>
      <c r="R1014" s="76"/>
      <c r="S1014" s="47"/>
      <c r="T1014" s="42"/>
      <c r="U1014" s="147"/>
      <c r="W1014" s="96"/>
      <c r="X1014" s="223"/>
      <c r="Y1014" s="98"/>
      <c r="Z1014" s="97"/>
      <c r="AA1014" s="99"/>
    </row>
    <row r="1015" spans="1:27" s="95" customFormat="1">
      <c r="A1015" s="34"/>
      <c r="B1015" s="76"/>
      <c r="C1015" s="76"/>
      <c r="D1015" s="188"/>
      <c r="E1015" s="44"/>
      <c r="F1015" s="44"/>
      <c r="G1015" s="44"/>
      <c r="H1015" s="44"/>
      <c r="I1015" s="44"/>
      <c r="J1015" s="44"/>
      <c r="K1015" s="44"/>
      <c r="L1015" s="44"/>
      <c r="M1015" s="44"/>
      <c r="N1015" s="37"/>
      <c r="O1015" s="38"/>
      <c r="P1015" s="34"/>
      <c r="Q1015" s="34"/>
      <c r="R1015" s="76"/>
      <c r="S1015" s="47"/>
      <c r="T1015" s="42"/>
      <c r="U1015" s="147"/>
      <c r="W1015" s="96"/>
      <c r="X1015" s="223"/>
      <c r="Y1015" s="98"/>
      <c r="Z1015" s="97"/>
      <c r="AA1015" s="99"/>
    </row>
    <row r="1016" spans="1:27" s="95" customFormat="1">
      <c r="A1016" s="34"/>
      <c r="B1016" s="76"/>
      <c r="C1016" s="76"/>
      <c r="D1016" s="188"/>
      <c r="E1016" s="44"/>
      <c r="F1016" s="44"/>
      <c r="G1016" s="44"/>
      <c r="H1016" s="44"/>
      <c r="I1016" s="44"/>
      <c r="J1016" s="44"/>
      <c r="K1016" s="44"/>
      <c r="L1016" s="44"/>
      <c r="M1016" s="44"/>
      <c r="N1016" s="37"/>
      <c r="O1016" s="38"/>
      <c r="P1016" s="34"/>
      <c r="Q1016" s="34"/>
      <c r="R1016" s="76"/>
      <c r="S1016" s="47"/>
      <c r="T1016" s="42"/>
      <c r="U1016" s="147"/>
      <c r="W1016" s="96"/>
      <c r="X1016" s="223"/>
      <c r="Y1016" s="98"/>
      <c r="Z1016" s="97"/>
      <c r="AA1016" s="99"/>
    </row>
    <row r="1017" spans="1:27" s="95" customFormat="1">
      <c r="A1017" s="34"/>
      <c r="B1017" s="76"/>
      <c r="C1017" s="76"/>
      <c r="D1017" s="188"/>
      <c r="E1017" s="44"/>
      <c r="F1017" s="44"/>
      <c r="G1017" s="44"/>
      <c r="H1017" s="44"/>
      <c r="I1017" s="44"/>
      <c r="J1017" s="44"/>
      <c r="K1017" s="44"/>
      <c r="L1017" s="44"/>
      <c r="M1017" s="44"/>
      <c r="N1017" s="37"/>
      <c r="O1017" s="38"/>
      <c r="P1017" s="34"/>
      <c r="Q1017" s="34"/>
      <c r="R1017" s="76"/>
      <c r="S1017" s="47"/>
      <c r="T1017" s="42"/>
      <c r="U1017" s="147"/>
      <c r="W1017" s="96"/>
      <c r="X1017" s="223"/>
      <c r="Y1017" s="98"/>
      <c r="Z1017" s="97"/>
      <c r="AA1017" s="99"/>
    </row>
    <row r="1018" spans="1:27" s="95" customFormat="1">
      <c r="A1018" s="34"/>
      <c r="B1018" s="76"/>
      <c r="C1018" s="76"/>
      <c r="D1018" s="188"/>
      <c r="E1018" s="44"/>
      <c r="F1018" s="44"/>
      <c r="G1018" s="44"/>
      <c r="H1018" s="44"/>
      <c r="I1018" s="44"/>
      <c r="J1018" s="44"/>
      <c r="K1018" s="44"/>
      <c r="L1018" s="44"/>
      <c r="M1018" s="44"/>
      <c r="N1018" s="37"/>
      <c r="O1018" s="38"/>
      <c r="P1018" s="34"/>
      <c r="Q1018" s="34"/>
      <c r="R1018" s="76"/>
      <c r="S1018" s="47"/>
      <c r="T1018" s="42"/>
      <c r="U1018" s="147"/>
      <c r="W1018" s="96"/>
      <c r="X1018" s="223"/>
      <c r="Y1018" s="98"/>
      <c r="Z1018" s="97"/>
      <c r="AA1018" s="99"/>
    </row>
    <row r="1019" spans="1:27" s="95" customFormat="1">
      <c r="A1019" s="34"/>
      <c r="B1019" s="76"/>
      <c r="C1019" s="76"/>
      <c r="D1019" s="188"/>
      <c r="E1019" s="44"/>
      <c r="F1019" s="44"/>
      <c r="G1019" s="44"/>
      <c r="H1019" s="44"/>
      <c r="I1019" s="44"/>
      <c r="J1019" s="44"/>
      <c r="K1019" s="44"/>
      <c r="L1019" s="44"/>
      <c r="M1019" s="44"/>
      <c r="N1019" s="37"/>
      <c r="O1019" s="38"/>
      <c r="P1019" s="34"/>
      <c r="Q1019" s="34"/>
      <c r="R1019" s="76"/>
      <c r="S1019" s="47"/>
      <c r="T1019" s="42"/>
      <c r="U1019" s="147"/>
      <c r="W1019" s="96"/>
      <c r="X1019" s="223"/>
      <c r="Y1019" s="98"/>
      <c r="Z1019" s="97"/>
      <c r="AA1019" s="99"/>
    </row>
    <row r="1020" spans="1:27" s="95" customFormat="1">
      <c r="A1020" s="34"/>
      <c r="B1020" s="76"/>
      <c r="C1020" s="76"/>
      <c r="D1020" s="188"/>
      <c r="E1020" s="44"/>
      <c r="F1020" s="44"/>
      <c r="G1020" s="44"/>
      <c r="H1020" s="44"/>
      <c r="I1020" s="44"/>
      <c r="J1020" s="44"/>
      <c r="K1020" s="44"/>
      <c r="L1020" s="44"/>
      <c r="M1020" s="44"/>
      <c r="N1020" s="37"/>
      <c r="O1020" s="38"/>
      <c r="P1020" s="34"/>
      <c r="Q1020" s="34"/>
      <c r="R1020" s="76"/>
      <c r="S1020" s="47"/>
      <c r="T1020" s="42"/>
      <c r="U1020" s="147"/>
      <c r="W1020" s="96"/>
      <c r="X1020" s="223"/>
      <c r="Y1020" s="98"/>
      <c r="Z1020" s="97"/>
      <c r="AA1020" s="99"/>
    </row>
    <row r="1021" spans="1:27" s="95" customFormat="1">
      <c r="A1021" s="34"/>
      <c r="B1021" s="76"/>
      <c r="C1021" s="76"/>
      <c r="D1021" s="188"/>
      <c r="E1021" s="44"/>
      <c r="F1021" s="44"/>
      <c r="G1021" s="44"/>
      <c r="H1021" s="44"/>
      <c r="I1021" s="44"/>
      <c r="J1021" s="44"/>
      <c r="K1021" s="44"/>
      <c r="L1021" s="44"/>
      <c r="M1021" s="44"/>
      <c r="N1021" s="37"/>
      <c r="O1021" s="38"/>
      <c r="P1021" s="34"/>
      <c r="Q1021" s="34"/>
      <c r="R1021" s="76"/>
      <c r="S1021" s="47"/>
      <c r="T1021" s="42"/>
      <c r="U1021" s="147"/>
      <c r="W1021" s="96"/>
      <c r="X1021" s="223"/>
      <c r="Y1021" s="98"/>
      <c r="Z1021" s="97"/>
      <c r="AA1021" s="99"/>
    </row>
    <row r="1022" spans="1:27" s="95" customFormat="1">
      <c r="A1022" s="34"/>
      <c r="B1022" s="76"/>
      <c r="C1022" s="76"/>
      <c r="D1022" s="188"/>
      <c r="E1022" s="44"/>
      <c r="F1022" s="44"/>
      <c r="G1022" s="44"/>
      <c r="H1022" s="44"/>
      <c r="I1022" s="44"/>
      <c r="J1022" s="44"/>
      <c r="K1022" s="44"/>
      <c r="L1022" s="44"/>
      <c r="M1022" s="44"/>
      <c r="N1022" s="37"/>
      <c r="O1022" s="38"/>
      <c r="P1022" s="34"/>
      <c r="Q1022" s="34"/>
      <c r="R1022" s="76"/>
      <c r="S1022" s="47"/>
      <c r="T1022" s="42"/>
      <c r="U1022" s="147"/>
      <c r="W1022" s="96"/>
      <c r="X1022" s="223"/>
      <c r="Y1022" s="98"/>
      <c r="Z1022" s="97"/>
      <c r="AA1022" s="99"/>
    </row>
    <row r="1023" spans="1:27" s="95" customFormat="1">
      <c r="A1023" s="34"/>
      <c r="B1023" s="76"/>
      <c r="C1023" s="76"/>
      <c r="D1023" s="188"/>
      <c r="E1023" s="44"/>
      <c r="F1023" s="44"/>
      <c r="G1023" s="44"/>
      <c r="H1023" s="44"/>
      <c r="I1023" s="44"/>
      <c r="J1023" s="44"/>
      <c r="K1023" s="44"/>
      <c r="L1023" s="44"/>
      <c r="M1023" s="44"/>
      <c r="N1023" s="37"/>
      <c r="O1023" s="38"/>
      <c r="P1023" s="34"/>
      <c r="Q1023" s="34"/>
      <c r="R1023" s="76"/>
      <c r="S1023" s="47"/>
      <c r="T1023" s="42"/>
      <c r="U1023" s="147"/>
      <c r="W1023" s="96"/>
      <c r="X1023" s="223"/>
      <c r="Y1023" s="98"/>
      <c r="Z1023" s="97"/>
      <c r="AA1023" s="99"/>
    </row>
    <row r="1024" spans="1:27" s="95" customFormat="1">
      <c r="A1024" s="34"/>
      <c r="B1024" s="76"/>
      <c r="C1024" s="76"/>
      <c r="D1024" s="188"/>
      <c r="E1024" s="44"/>
      <c r="F1024" s="44"/>
      <c r="G1024" s="44"/>
      <c r="H1024" s="44"/>
      <c r="I1024" s="44"/>
      <c r="J1024" s="44"/>
      <c r="K1024" s="44"/>
      <c r="L1024" s="44"/>
      <c r="M1024" s="44"/>
      <c r="N1024" s="37"/>
      <c r="O1024" s="38"/>
      <c r="P1024" s="34"/>
      <c r="Q1024" s="34"/>
      <c r="R1024" s="76"/>
      <c r="S1024" s="47"/>
      <c r="T1024" s="42"/>
      <c r="U1024" s="147"/>
      <c r="W1024" s="96"/>
      <c r="X1024" s="223"/>
      <c r="Y1024" s="98"/>
      <c r="Z1024" s="97"/>
      <c r="AA1024" s="99"/>
    </row>
    <row r="1025" spans="1:27" s="95" customFormat="1">
      <c r="A1025" s="34"/>
      <c r="B1025" s="76"/>
      <c r="C1025" s="76"/>
      <c r="D1025" s="188"/>
      <c r="E1025" s="44"/>
      <c r="F1025" s="44"/>
      <c r="G1025" s="44"/>
      <c r="H1025" s="44"/>
      <c r="I1025" s="44"/>
      <c r="J1025" s="44"/>
      <c r="K1025" s="44"/>
      <c r="L1025" s="44"/>
      <c r="M1025" s="44"/>
      <c r="N1025" s="37"/>
      <c r="O1025" s="38"/>
      <c r="P1025" s="34"/>
      <c r="Q1025" s="34"/>
      <c r="R1025" s="76"/>
      <c r="S1025" s="47"/>
      <c r="T1025" s="42"/>
      <c r="U1025" s="147"/>
      <c r="W1025" s="96"/>
      <c r="X1025" s="223"/>
      <c r="Y1025" s="98"/>
      <c r="Z1025" s="97"/>
      <c r="AA1025" s="99"/>
    </row>
    <row r="1026" spans="1:27" s="95" customFormat="1">
      <c r="A1026" s="34"/>
      <c r="B1026" s="76"/>
      <c r="C1026" s="76"/>
      <c r="D1026" s="188"/>
      <c r="E1026" s="44"/>
      <c r="F1026" s="44"/>
      <c r="G1026" s="44"/>
      <c r="H1026" s="44"/>
      <c r="I1026" s="44"/>
      <c r="J1026" s="44"/>
      <c r="K1026" s="44"/>
      <c r="L1026" s="44"/>
      <c r="M1026" s="44"/>
      <c r="N1026" s="37"/>
      <c r="O1026" s="38"/>
      <c r="P1026" s="34"/>
      <c r="Q1026" s="34"/>
      <c r="R1026" s="76"/>
      <c r="S1026" s="47"/>
      <c r="T1026" s="42"/>
      <c r="U1026" s="147"/>
      <c r="W1026" s="96"/>
      <c r="X1026" s="223"/>
      <c r="Y1026" s="98"/>
      <c r="Z1026" s="97"/>
      <c r="AA1026" s="99"/>
    </row>
    <row r="1027" spans="1:27" s="95" customFormat="1">
      <c r="A1027" s="34"/>
      <c r="B1027" s="76"/>
      <c r="C1027" s="76"/>
      <c r="D1027" s="188"/>
      <c r="E1027" s="44"/>
      <c r="F1027" s="44"/>
      <c r="G1027" s="44"/>
      <c r="H1027" s="44"/>
      <c r="I1027" s="44"/>
      <c r="J1027" s="44"/>
      <c r="K1027" s="44"/>
      <c r="L1027" s="44"/>
      <c r="M1027" s="44"/>
      <c r="N1027" s="37"/>
      <c r="O1027" s="38"/>
      <c r="P1027" s="34"/>
      <c r="Q1027" s="34"/>
      <c r="R1027" s="76"/>
      <c r="S1027" s="47"/>
      <c r="T1027" s="42"/>
      <c r="U1027" s="147"/>
      <c r="W1027" s="96"/>
      <c r="X1027" s="223"/>
      <c r="Y1027" s="98"/>
      <c r="Z1027" s="97"/>
      <c r="AA1027" s="99"/>
    </row>
    <row r="1028" spans="1:27" s="95" customFormat="1">
      <c r="A1028" s="34"/>
      <c r="B1028" s="76"/>
      <c r="C1028" s="76"/>
      <c r="D1028" s="188"/>
      <c r="E1028" s="44"/>
      <c r="F1028" s="44"/>
      <c r="G1028" s="44"/>
      <c r="H1028" s="44"/>
      <c r="I1028" s="44"/>
      <c r="J1028" s="44"/>
      <c r="K1028" s="44"/>
      <c r="L1028" s="44"/>
      <c r="M1028" s="44"/>
      <c r="N1028" s="37"/>
      <c r="O1028" s="38"/>
      <c r="P1028" s="34"/>
      <c r="Q1028" s="34"/>
      <c r="R1028" s="76"/>
      <c r="S1028" s="47"/>
      <c r="T1028" s="42"/>
      <c r="U1028" s="147"/>
      <c r="W1028" s="96"/>
      <c r="X1028" s="223"/>
      <c r="Y1028" s="98"/>
      <c r="Z1028" s="97"/>
      <c r="AA1028" s="99"/>
    </row>
    <row r="1029" spans="1:27" s="95" customFormat="1">
      <c r="A1029" s="34"/>
      <c r="B1029" s="76"/>
      <c r="C1029" s="76"/>
      <c r="D1029" s="188"/>
      <c r="E1029" s="44"/>
      <c r="F1029" s="44"/>
      <c r="G1029" s="44"/>
      <c r="H1029" s="44"/>
      <c r="I1029" s="44"/>
      <c r="J1029" s="44"/>
      <c r="K1029" s="44"/>
      <c r="L1029" s="44"/>
      <c r="M1029" s="44"/>
      <c r="N1029" s="37"/>
      <c r="O1029" s="38"/>
      <c r="P1029" s="34"/>
      <c r="Q1029" s="34"/>
      <c r="R1029" s="76"/>
      <c r="S1029" s="47"/>
      <c r="T1029" s="42"/>
      <c r="U1029" s="147"/>
      <c r="W1029" s="96"/>
      <c r="X1029" s="223"/>
      <c r="Y1029" s="98"/>
      <c r="Z1029" s="97"/>
      <c r="AA1029" s="99"/>
    </row>
    <row r="1030" spans="1:27" s="95" customFormat="1">
      <c r="A1030" s="34"/>
      <c r="B1030" s="76"/>
      <c r="C1030" s="76"/>
      <c r="D1030" s="188"/>
      <c r="E1030" s="44"/>
      <c r="F1030" s="44"/>
      <c r="G1030" s="44"/>
      <c r="H1030" s="44"/>
      <c r="I1030" s="44"/>
      <c r="J1030" s="44"/>
      <c r="K1030" s="44"/>
      <c r="L1030" s="44"/>
      <c r="M1030" s="44"/>
      <c r="N1030" s="37"/>
      <c r="O1030" s="38"/>
      <c r="P1030" s="34"/>
      <c r="Q1030" s="34"/>
      <c r="R1030" s="76"/>
      <c r="S1030" s="47"/>
      <c r="T1030" s="42"/>
      <c r="U1030" s="147"/>
      <c r="W1030" s="96"/>
      <c r="X1030" s="223"/>
      <c r="Y1030" s="98"/>
      <c r="Z1030" s="97"/>
      <c r="AA1030" s="99"/>
    </row>
    <row r="1031" spans="1:27" s="95" customFormat="1">
      <c r="A1031" s="34"/>
      <c r="B1031" s="76"/>
      <c r="C1031" s="76"/>
      <c r="D1031" s="188"/>
      <c r="E1031" s="44"/>
      <c r="F1031" s="44"/>
      <c r="G1031" s="44"/>
      <c r="H1031" s="44"/>
      <c r="I1031" s="44"/>
      <c r="J1031" s="44"/>
      <c r="K1031" s="44"/>
      <c r="L1031" s="44"/>
      <c r="M1031" s="44"/>
      <c r="N1031" s="37"/>
      <c r="O1031" s="38"/>
      <c r="P1031" s="34"/>
      <c r="Q1031" s="34"/>
      <c r="R1031" s="76"/>
      <c r="S1031" s="47"/>
      <c r="T1031" s="42"/>
      <c r="U1031" s="147"/>
      <c r="W1031" s="96"/>
      <c r="X1031" s="223"/>
      <c r="Y1031" s="98"/>
      <c r="Z1031" s="97"/>
      <c r="AA1031" s="99"/>
    </row>
    <row r="1032" spans="1:27" s="95" customFormat="1">
      <c r="A1032" s="34"/>
      <c r="B1032" s="76"/>
      <c r="C1032" s="76"/>
      <c r="D1032" s="188"/>
      <c r="E1032" s="44"/>
      <c r="F1032" s="44"/>
      <c r="G1032" s="44"/>
      <c r="H1032" s="44"/>
      <c r="I1032" s="44"/>
      <c r="J1032" s="44"/>
      <c r="K1032" s="44"/>
      <c r="L1032" s="44"/>
      <c r="M1032" s="44"/>
      <c r="N1032" s="37"/>
      <c r="O1032" s="38"/>
      <c r="P1032" s="34"/>
      <c r="Q1032" s="34"/>
      <c r="R1032" s="76"/>
      <c r="S1032" s="47"/>
      <c r="T1032" s="42"/>
      <c r="U1032" s="147"/>
      <c r="W1032" s="96"/>
      <c r="X1032" s="223"/>
      <c r="Y1032" s="98"/>
      <c r="Z1032" s="97"/>
      <c r="AA1032" s="99"/>
    </row>
    <row r="1033" spans="1:27" s="95" customFormat="1">
      <c r="A1033" s="34"/>
      <c r="B1033" s="76"/>
      <c r="C1033" s="76"/>
      <c r="D1033" s="188"/>
      <c r="E1033" s="44"/>
      <c r="F1033" s="44"/>
      <c r="G1033" s="44"/>
      <c r="H1033" s="44"/>
      <c r="I1033" s="44"/>
      <c r="J1033" s="44"/>
      <c r="K1033" s="44"/>
      <c r="L1033" s="44"/>
      <c r="M1033" s="44"/>
      <c r="N1033" s="37"/>
      <c r="O1033" s="38"/>
      <c r="P1033" s="34"/>
      <c r="Q1033" s="34"/>
      <c r="R1033" s="76"/>
      <c r="S1033" s="47"/>
      <c r="T1033" s="42"/>
      <c r="U1033" s="147"/>
      <c r="W1033" s="96"/>
      <c r="X1033" s="223"/>
      <c r="Y1033" s="98"/>
      <c r="Z1033" s="97"/>
      <c r="AA1033" s="99"/>
    </row>
    <row r="1034" spans="1:27" s="95" customFormat="1">
      <c r="A1034" s="34"/>
      <c r="B1034" s="76"/>
      <c r="C1034" s="76"/>
      <c r="D1034" s="188"/>
      <c r="E1034" s="44"/>
      <c r="F1034" s="44"/>
      <c r="G1034" s="44"/>
      <c r="H1034" s="44"/>
      <c r="I1034" s="44"/>
      <c r="J1034" s="44"/>
      <c r="K1034" s="44"/>
      <c r="L1034" s="44"/>
      <c r="M1034" s="44"/>
      <c r="N1034" s="37"/>
      <c r="O1034" s="38"/>
      <c r="P1034" s="34"/>
      <c r="Q1034" s="34"/>
      <c r="R1034" s="76"/>
      <c r="S1034" s="47"/>
      <c r="T1034" s="42"/>
      <c r="U1034" s="147"/>
      <c r="W1034" s="96"/>
      <c r="X1034" s="223"/>
      <c r="Y1034" s="98"/>
      <c r="Z1034" s="97"/>
      <c r="AA1034" s="99"/>
    </row>
    <row r="1035" spans="1:27" s="95" customFormat="1">
      <c r="A1035" s="34"/>
      <c r="B1035" s="76"/>
      <c r="C1035" s="76"/>
      <c r="D1035" s="188"/>
      <c r="E1035" s="44"/>
      <c r="F1035" s="44"/>
      <c r="G1035" s="44"/>
      <c r="H1035" s="44"/>
      <c r="I1035" s="44"/>
      <c r="J1035" s="44"/>
      <c r="K1035" s="44"/>
      <c r="L1035" s="44"/>
      <c r="M1035" s="44"/>
      <c r="N1035" s="37"/>
      <c r="O1035" s="38"/>
      <c r="P1035" s="34"/>
      <c r="Q1035" s="34"/>
      <c r="R1035" s="76"/>
      <c r="S1035" s="47"/>
      <c r="T1035" s="42"/>
      <c r="U1035" s="147"/>
      <c r="W1035" s="96"/>
      <c r="X1035" s="223"/>
      <c r="Y1035" s="98"/>
      <c r="Z1035" s="97"/>
      <c r="AA1035" s="99"/>
    </row>
    <row r="1036" spans="1:27" s="95" customFormat="1">
      <c r="A1036" s="34"/>
      <c r="B1036" s="76"/>
      <c r="C1036" s="76"/>
      <c r="D1036" s="188"/>
      <c r="E1036" s="44"/>
      <c r="F1036" s="44"/>
      <c r="G1036" s="44"/>
      <c r="H1036" s="44"/>
      <c r="I1036" s="44"/>
      <c r="J1036" s="44"/>
      <c r="K1036" s="44"/>
      <c r="L1036" s="44"/>
      <c r="M1036" s="44"/>
      <c r="N1036" s="37"/>
      <c r="O1036" s="38"/>
      <c r="P1036" s="34"/>
      <c r="Q1036" s="34"/>
      <c r="R1036" s="76"/>
      <c r="S1036" s="47"/>
      <c r="T1036" s="42"/>
      <c r="U1036" s="147"/>
      <c r="W1036" s="96"/>
      <c r="X1036" s="223"/>
      <c r="Y1036" s="98"/>
      <c r="Z1036" s="97"/>
      <c r="AA1036" s="99"/>
    </row>
    <row r="1037" spans="1:27" s="95" customFormat="1">
      <c r="A1037" s="34"/>
      <c r="B1037" s="76"/>
      <c r="C1037" s="76"/>
      <c r="D1037" s="188"/>
      <c r="E1037" s="44"/>
      <c r="F1037" s="44"/>
      <c r="G1037" s="44"/>
      <c r="H1037" s="44"/>
      <c r="I1037" s="44"/>
      <c r="J1037" s="44"/>
      <c r="K1037" s="44"/>
      <c r="L1037" s="44"/>
      <c r="M1037" s="44"/>
      <c r="N1037" s="37"/>
      <c r="O1037" s="38"/>
      <c r="P1037" s="34"/>
      <c r="Q1037" s="39"/>
      <c r="R1037" s="84"/>
      <c r="S1037" s="47"/>
      <c r="T1037" s="42"/>
      <c r="U1037" s="147"/>
      <c r="W1037" s="96"/>
      <c r="X1037" s="223"/>
      <c r="Y1037" s="98"/>
      <c r="Z1037" s="97"/>
      <c r="AA1037" s="99"/>
    </row>
    <row r="1038" spans="1:27" s="95" customFormat="1">
      <c r="A1038" s="34"/>
      <c r="B1038" s="76"/>
      <c r="C1038" s="76"/>
      <c r="D1038" s="188"/>
      <c r="E1038" s="44"/>
      <c r="F1038" s="44"/>
      <c r="G1038" s="44"/>
      <c r="H1038" s="44"/>
      <c r="I1038" s="44"/>
      <c r="J1038" s="44"/>
      <c r="K1038" s="44"/>
      <c r="L1038" s="44"/>
      <c r="M1038" s="44"/>
      <c r="N1038" s="37"/>
      <c r="O1038" s="38"/>
      <c r="P1038" s="34"/>
      <c r="Q1038" s="39"/>
      <c r="R1038" s="84"/>
      <c r="S1038" s="47"/>
      <c r="T1038" s="42"/>
      <c r="U1038" s="147"/>
      <c r="W1038" s="96"/>
      <c r="X1038" s="223"/>
      <c r="Y1038" s="98"/>
      <c r="Z1038" s="97"/>
      <c r="AA1038" s="99"/>
    </row>
    <row r="1039" spans="1:27" s="95" customFormat="1">
      <c r="A1039" s="34"/>
      <c r="B1039" s="76"/>
      <c r="C1039" s="76"/>
      <c r="D1039" s="188"/>
      <c r="E1039" s="44"/>
      <c r="F1039" s="44"/>
      <c r="G1039" s="44"/>
      <c r="H1039" s="44"/>
      <c r="I1039" s="44"/>
      <c r="J1039" s="44"/>
      <c r="K1039" s="44"/>
      <c r="L1039" s="44"/>
      <c r="M1039" s="44"/>
      <c r="N1039" s="37"/>
      <c r="O1039" s="38"/>
      <c r="P1039" s="34"/>
      <c r="Q1039" s="39"/>
      <c r="R1039" s="84"/>
      <c r="S1039" s="47"/>
      <c r="T1039" s="42"/>
      <c r="U1039" s="147"/>
      <c r="W1039" s="96"/>
      <c r="X1039" s="223"/>
      <c r="Y1039" s="98"/>
      <c r="Z1039" s="97"/>
      <c r="AA1039" s="99"/>
    </row>
    <row r="1040" spans="1:27" s="95" customFormat="1">
      <c r="A1040" s="34"/>
      <c r="B1040" s="76"/>
      <c r="C1040" s="76"/>
      <c r="D1040" s="188"/>
      <c r="E1040" s="44"/>
      <c r="F1040" s="44"/>
      <c r="G1040" s="44"/>
      <c r="H1040" s="44"/>
      <c r="I1040" s="44"/>
      <c r="J1040" s="44"/>
      <c r="K1040" s="44"/>
      <c r="L1040" s="44"/>
      <c r="M1040" s="44"/>
      <c r="N1040" s="37"/>
      <c r="O1040" s="38"/>
      <c r="P1040" s="34"/>
      <c r="Q1040" s="39"/>
      <c r="R1040" s="84"/>
      <c r="S1040" s="47"/>
      <c r="T1040" s="42"/>
      <c r="U1040" s="147"/>
      <c r="W1040" s="96"/>
      <c r="X1040" s="223"/>
      <c r="Y1040" s="98"/>
      <c r="Z1040" s="97"/>
      <c r="AA1040" s="99"/>
    </row>
    <row r="1041" spans="1:27" s="95" customFormat="1">
      <c r="A1041" s="34"/>
      <c r="B1041" s="76"/>
      <c r="C1041" s="76"/>
      <c r="D1041" s="188"/>
      <c r="E1041" s="44"/>
      <c r="F1041" s="44"/>
      <c r="G1041" s="44"/>
      <c r="H1041" s="44"/>
      <c r="I1041" s="44"/>
      <c r="J1041" s="44"/>
      <c r="K1041" s="44"/>
      <c r="L1041" s="44"/>
      <c r="M1041" s="44"/>
      <c r="N1041" s="37"/>
      <c r="O1041" s="38"/>
      <c r="P1041" s="34"/>
      <c r="Q1041" s="39"/>
      <c r="R1041" s="84"/>
      <c r="S1041" s="47"/>
      <c r="T1041" s="42"/>
      <c r="U1041" s="147"/>
      <c r="W1041" s="96"/>
      <c r="X1041" s="223"/>
      <c r="Y1041" s="98"/>
      <c r="Z1041" s="97"/>
      <c r="AA1041" s="99"/>
    </row>
    <row r="1042" spans="1:27" s="95" customFormat="1">
      <c r="A1042" s="34"/>
      <c r="B1042" s="76"/>
      <c r="C1042" s="76"/>
      <c r="D1042" s="188"/>
      <c r="E1042" s="44"/>
      <c r="F1042" s="44"/>
      <c r="G1042" s="44"/>
      <c r="H1042" s="44"/>
      <c r="I1042" s="44"/>
      <c r="J1042" s="44"/>
      <c r="K1042" s="44"/>
      <c r="L1042" s="44"/>
      <c r="M1042" s="44"/>
      <c r="N1042" s="37"/>
      <c r="O1042" s="38"/>
      <c r="P1042" s="34"/>
      <c r="Q1042" s="39"/>
      <c r="R1042" s="84"/>
      <c r="S1042" s="47"/>
      <c r="T1042" s="42"/>
      <c r="U1042" s="147"/>
      <c r="W1042" s="96"/>
      <c r="X1042" s="223"/>
      <c r="Y1042" s="98"/>
      <c r="Z1042" s="97"/>
      <c r="AA1042" s="99"/>
    </row>
    <row r="1043" spans="1:27" s="95" customFormat="1">
      <c r="A1043" s="34"/>
      <c r="B1043" s="76"/>
      <c r="C1043" s="76"/>
      <c r="D1043" s="188"/>
      <c r="E1043" s="44"/>
      <c r="F1043" s="44"/>
      <c r="G1043" s="44"/>
      <c r="H1043" s="44"/>
      <c r="I1043" s="44"/>
      <c r="J1043" s="44"/>
      <c r="K1043" s="44"/>
      <c r="L1043" s="44"/>
      <c r="M1043" s="44"/>
      <c r="N1043" s="37"/>
      <c r="O1043" s="38"/>
      <c r="P1043" s="34"/>
      <c r="Q1043" s="39"/>
      <c r="R1043" s="84"/>
      <c r="S1043" s="47"/>
      <c r="T1043" s="42"/>
      <c r="U1043" s="147"/>
      <c r="W1043" s="96"/>
      <c r="X1043" s="223"/>
      <c r="Y1043" s="98"/>
      <c r="Z1043" s="97"/>
      <c r="AA1043" s="99"/>
    </row>
    <row r="1044" spans="1:27" s="95" customFormat="1">
      <c r="A1044" s="34"/>
      <c r="B1044" s="76"/>
      <c r="C1044" s="76"/>
      <c r="D1044" s="188"/>
      <c r="E1044" s="44"/>
      <c r="F1044" s="44"/>
      <c r="G1044" s="44"/>
      <c r="H1044" s="44"/>
      <c r="I1044" s="44"/>
      <c r="J1044" s="44"/>
      <c r="K1044" s="44"/>
      <c r="L1044" s="44"/>
      <c r="M1044" s="44"/>
      <c r="N1044" s="37"/>
      <c r="O1044" s="38"/>
      <c r="P1044" s="34"/>
      <c r="Q1044" s="39"/>
      <c r="R1044" s="84"/>
      <c r="S1044" s="47"/>
      <c r="T1044" s="42"/>
      <c r="U1044" s="147"/>
      <c r="W1044" s="96"/>
      <c r="X1044" s="223"/>
      <c r="Y1044" s="98"/>
      <c r="Z1044" s="97"/>
      <c r="AA1044" s="99"/>
    </row>
    <row r="1045" spans="1:27" s="95" customFormat="1">
      <c r="A1045" s="34"/>
      <c r="B1045" s="76"/>
      <c r="C1045" s="76"/>
      <c r="D1045" s="188"/>
      <c r="E1045" s="44"/>
      <c r="F1045" s="44"/>
      <c r="G1045" s="44"/>
      <c r="H1045" s="44"/>
      <c r="I1045" s="44"/>
      <c r="J1045" s="44"/>
      <c r="K1045" s="44"/>
      <c r="L1045" s="44"/>
      <c r="M1045" s="44"/>
      <c r="N1045" s="37"/>
      <c r="O1045" s="38"/>
      <c r="P1045" s="34"/>
      <c r="Q1045" s="39"/>
      <c r="R1045" s="84"/>
      <c r="S1045" s="47"/>
      <c r="T1045" s="42"/>
      <c r="U1045" s="147"/>
      <c r="W1045" s="96"/>
      <c r="X1045" s="223"/>
      <c r="Y1045" s="98"/>
      <c r="Z1045" s="97"/>
      <c r="AA1045" s="99"/>
    </row>
    <row r="1046" spans="1:27" s="95" customFormat="1">
      <c r="A1046" s="34"/>
      <c r="B1046" s="76"/>
      <c r="C1046" s="76"/>
      <c r="D1046" s="188"/>
      <c r="E1046" s="44"/>
      <c r="F1046" s="44"/>
      <c r="G1046" s="44"/>
      <c r="H1046" s="44"/>
      <c r="I1046" s="44"/>
      <c r="J1046" s="44"/>
      <c r="K1046" s="44"/>
      <c r="L1046" s="44"/>
      <c r="M1046" s="44"/>
      <c r="N1046" s="37"/>
      <c r="O1046" s="38"/>
      <c r="P1046" s="34"/>
      <c r="Q1046" s="39"/>
      <c r="R1046" s="84"/>
      <c r="S1046" s="47"/>
      <c r="T1046" s="42"/>
      <c r="U1046" s="147"/>
      <c r="W1046" s="96"/>
      <c r="X1046" s="223"/>
      <c r="Y1046" s="98"/>
      <c r="Z1046" s="97"/>
      <c r="AA1046" s="99"/>
    </row>
    <row r="1047" spans="1:27" s="95" customFormat="1">
      <c r="A1047" s="34"/>
      <c r="B1047" s="76"/>
      <c r="C1047" s="76"/>
      <c r="D1047" s="188"/>
      <c r="E1047" s="44"/>
      <c r="F1047" s="44"/>
      <c r="G1047" s="44"/>
      <c r="H1047" s="44"/>
      <c r="I1047" s="44"/>
      <c r="J1047" s="44"/>
      <c r="K1047" s="44"/>
      <c r="L1047" s="44"/>
      <c r="M1047" s="44"/>
      <c r="N1047" s="37"/>
      <c r="O1047" s="38"/>
      <c r="P1047" s="34"/>
      <c r="Q1047" s="39"/>
      <c r="R1047" s="84"/>
      <c r="S1047" s="47"/>
      <c r="T1047" s="42"/>
      <c r="U1047" s="147"/>
      <c r="W1047" s="96"/>
      <c r="X1047" s="223"/>
      <c r="Y1047" s="98"/>
      <c r="Z1047" s="97"/>
      <c r="AA1047" s="99"/>
    </row>
    <row r="1048" spans="1:27" s="95" customFormat="1">
      <c r="A1048" s="34"/>
      <c r="B1048" s="76"/>
      <c r="C1048" s="76"/>
      <c r="D1048" s="188"/>
      <c r="E1048" s="44"/>
      <c r="F1048" s="44"/>
      <c r="G1048" s="44"/>
      <c r="H1048" s="44"/>
      <c r="I1048" s="44"/>
      <c r="J1048" s="44"/>
      <c r="K1048" s="44"/>
      <c r="L1048" s="44"/>
      <c r="M1048" s="44"/>
      <c r="N1048" s="37"/>
      <c r="O1048" s="38"/>
      <c r="P1048" s="34"/>
      <c r="Q1048" s="39"/>
      <c r="R1048" s="84"/>
      <c r="S1048" s="47"/>
      <c r="T1048" s="42"/>
      <c r="U1048" s="147"/>
      <c r="W1048" s="96"/>
      <c r="X1048" s="223"/>
      <c r="Y1048" s="98"/>
      <c r="Z1048" s="97"/>
      <c r="AA1048" s="99"/>
    </row>
    <row r="1049" spans="1:27" s="95" customFormat="1">
      <c r="A1049" s="34"/>
      <c r="B1049" s="76"/>
      <c r="C1049" s="76"/>
      <c r="D1049" s="188"/>
      <c r="E1049" s="44"/>
      <c r="F1049" s="44"/>
      <c r="G1049" s="44"/>
      <c r="H1049" s="44"/>
      <c r="I1049" s="44"/>
      <c r="J1049" s="44"/>
      <c r="K1049" s="44"/>
      <c r="L1049" s="44"/>
      <c r="M1049" s="44"/>
      <c r="N1049" s="37"/>
      <c r="O1049" s="38"/>
      <c r="P1049" s="34"/>
      <c r="Q1049" s="39"/>
      <c r="R1049" s="84"/>
      <c r="S1049" s="47"/>
      <c r="T1049" s="42"/>
      <c r="U1049" s="147"/>
      <c r="W1049" s="96"/>
      <c r="X1049" s="223"/>
      <c r="Y1049" s="98"/>
      <c r="Z1049" s="97"/>
      <c r="AA1049" s="99"/>
    </row>
    <row r="1050" spans="1:27" s="95" customFormat="1">
      <c r="A1050" s="34"/>
      <c r="B1050" s="76"/>
      <c r="C1050" s="76"/>
      <c r="D1050" s="188"/>
      <c r="E1050" s="44"/>
      <c r="F1050" s="44"/>
      <c r="G1050" s="44"/>
      <c r="H1050" s="44"/>
      <c r="I1050" s="44"/>
      <c r="J1050" s="44"/>
      <c r="K1050" s="44"/>
      <c r="L1050" s="44"/>
      <c r="M1050" s="44"/>
      <c r="N1050" s="37"/>
      <c r="O1050" s="38"/>
      <c r="P1050" s="34"/>
      <c r="Q1050" s="39"/>
      <c r="R1050" s="84"/>
      <c r="S1050" s="47"/>
      <c r="T1050" s="42"/>
      <c r="U1050" s="147"/>
      <c r="W1050" s="96"/>
      <c r="X1050" s="223"/>
      <c r="Y1050" s="98"/>
      <c r="Z1050" s="97"/>
      <c r="AA1050" s="99"/>
    </row>
    <row r="1051" spans="1:27" s="95" customFormat="1">
      <c r="A1051" s="34"/>
      <c r="B1051" s="76"/>
      <c r="C1051" s="76"/>
      <c r="D1051" s="188"/>
      <c r="E1051" s="44"/>
      <c r="F1051" s="44"/>
      <c r="G1051" s="44"/>
      <c r="H1051" s="44"/>
      <c r="I1051" s="44"/>
      <c r="J1051" s="44"/>
      <c r="K1051" s="44"/>
      <c r="L1051" s="44"/>
      <c r="M1051" s="44"/>
      <c r="N1051" s="37"/>
      <c r="O1051" s="38"/>
      <c r="P1051" s="34"/>
      <c r="Q1051" s="39"/>
      <c r="R1051" s="84"/>
      <c r="S1051" s="47"/>
      <c r="T1051" s="42"/>
      <c r="U1051" s="147"/>
      <c r="W1051" s="96"/>
      <c r="X1051" s="223"/>
      <c r="Y1051" s="98"/>
      <c r="Z1051" s="97"/>
      <c r="AA1051" s="99"/>
    </row>
    <row r="1052" spans="1:27" s="95" customFormat="1">
      <c r="A1052" s="34"/>
      <c r="B1052" s="76"/>
      <c r="C1052" s="76"/>
      <c r="D1052" s="188"/>
      <c r="E1052" s="44"/>
      <c r="F1052" s="44"/>
      <c r="G1052" s="44"/>
      <c r="H1052" s="44"/>
      <c r="I1052" s="44"/>
      <c r="J1052" s="44"/>
      <c r="K1052" s="44"/>
      <c r="L1052" s="44"/>
      <c r="M1052" s="44"/>
      <c r="N1052" s="37"/>
      <c r="O1052" s="38"/>
      <c r="P1052" s="34"/>
      <c r="Q1052" s="39"/>
      <c r="R1052" s="84"/>
      <c r="S1052" s="47"/>
      <c r="T1052" s="42"/>
      <c r="U1052" s="147"/>
      <c r="W1052" s="96"/>
      <c r="X1052" s="223"/>
      <c r="Y1052" s="98"/>
      <c r="Z1052" s="97"/>
      <c r="AA1052" s="99"/>
    </row>
    <row r="1053" spans="1:27" s="95" customFormat="1">
      <c r="A1053" s="34"/>
      <c r="B1053" s="76"/>
      <c r="C1053" s="76"/>
      <c r="D1053" s="188"/>
      <c r="E1053" s="44"/>
      <c r="F1053" s="44"/>
      <c r="G1053" s="44"/>
      <c r="H1053" s="44"/>
      <c r="I1053" s="44"/>
      <c r="J1053" s="44"/>
      <c r="K1053" s="44"/>
      <c r="L1053" s="44"/>
      <c r="M1053" s="44"/>
      <c r="N1053" s="37"/>
      <c r="O1053" s="38"/>
      <c r="P1053" s="34"/>
      <c r="Q1053" s="39"/>
      <c r="R1053" s="84"/>
      <c r="S1053" s="47"/>
      <c r="T1053" s="42"/>
      <c r="U1053" s="147"/>
      <c r="W1053" s="96"/>
      <c r="X1053" s="223"/>
      <c r="Y1053" s="98"/>
      <c r="Z1053" s="97"/>
      <c r="AA1053" s="99"/>
    </row>
    <row r="1054" spans="1:27" s="95" customFormat="1">
      <c r="A1054" s="34"/>
      <c r="B1054" s="76"/>
      <c r="C1054" s="76"/>
      <c r="D1054" s="188"/>
      <c r="E1054" s="44"/>
      <c r="F1054" s="44"/>
      <c r="G1054" s="44"/>
      <c r="H1054" s="44"/>
      <c r="I1054" s="44"/>
      <c r="J1054" s="44"/>
      <c r="K1054" s="44"/>
      <c r="L1054" s="44"/>
      <c r="M1054" s="44"/>
      <c r="N1054" s="37"/>
      <c r="O1054" s="38"/>
      <c r="P1054" s="34"/>
      <c r="Q1054" s="39"/>
      <c r="R1054" s="84"/>
      <c r="S1054" s="47"/>
      <c r="T1054" s="42"/>
      <c r="U1054" s="147"/>
      <c r="W1054" s="96"/>
      <c r="X1054" s="223"/>
      <c r="Y1054" s="98"/>
      <c r="Z1054" s="97"/>
      <c r="AA1054" s="99"/>
    </row>
    <row r="1055" spans="1:27" s="95" customFormat="1">
      <c r="A1055" s="34"/>
      <c r="B1055" s="76"/>
      <c r="C1055" s="76"/>
      <c r="D1055" s="188"/>
      <c r="E1055" s="44"/>
      <c r="F1055" s="44"/>
      <c r="G1055" s="44"/>
      <c r="H1055" s="44"/>
      <c r="I1055" s="44"/>
      <c r="J1055" s="44"/>
      <c r="K1055" s="44"/>
      <c r="L1055" s="44"/>
      <c r="M1055" s="44"/>
      <c r="N1055" s="37"/>
      <c r="O1055" s="38"/>
      <c r="P1055" s="34"/>
      <c r="Q1055" s="39"/>
      <c r="R1055" s="84"/>
      <c r="S1055" s="47"/>
      <c r="T1055" s="42"/>
      <c r="U1055" s="147"/>
      <c r="W1055" s="96"/>
      <c r="X1055" s="223"/>
      <c r="Y1055" s="98"/>
      <c r="Z1055" s="97"/>
      <c r="AA1055" s="99"/>
    </row>
    <row r="1056" spans="1:27" s="95" customFormat="1">
      <c r="A1056" s="34"/>
      <c r="B1056" s="76"/>
      <c r="C1056" s="76"/>
      <c r="D1056" s="188"/>
      <c r="E1056" s="44"/>
      <c r="F1056" s="44"/>
      <c r="G1056" s="44"/>
      <c r="H1056" s="44"/>
      <c r="I1056" s="44"/>
      <c r="J1056" s="44"/>
      <c r="K1056" s="44"/>
      <c r="L1056" s="44"/>
      <c r="M1056" s="44"/>
      <c r="N1056" s="37"/>
      <c r="O1056" s="38"/>
      <c r="P1056" s="34"/>
      <c r="Q1056" s="39"/>
      <c r="R1056" s="84"/>
      <c r="S1056" s="47"/>
      <c r="T1056" s="42"/>
      <c r="U1056" s="147"/>
      <c r="W1056" s="96"/>
      <c r="X1056" s="223"/>
      <c r="Y1056" s="98"/>
      <c r="Z1056" s="97"/>
      <c r="AA1056" s="99"/>
    </row>
    <row r="1057" spans="1:27" s="95" customFormat="1">
      <c r="A1057" s="34"/>
      <c r="B1057" s="76"/>
      <c r="C1057" s="76"/>
      <c r="D1057" s="188"/>
      <c r="E1057" s="44"/>
      <c r="F1057" s="44"/>
      <c r="G1057" s="44"/>
      <c r="H1057" s="44"/>
      <c r="I1057" s="44"/>
      <c r="J1057" s="44"/>
      <c r="K1057" s="44"/>
      <c r="L1057" s="44"/>
      <c r="M1057" s="44"/>
      <c r="N1057" s="37"/>
      <c r="O1057" s="38"/>
      <c r="P1057" s="34"/>
      <c r="Q1057" s="34"/>
      <c r="R1057" s="76"/>
      <c r="S1057" s="47"/>
      <c r="T1057" s="42"/>
      <c r="U1057" s="147"/>
      <c r="W1057" s="96"/>
      <c r="X1057" s="223"/>
      <c r="Y1057" s="98"/>
      <c r="Z1057" s="97"/>
      <c r="AA1057" s="99"/>
    </row>
    <row r="1058" spans="1:27" s="95" customFormat="1">
      <c r="A1058" s="34"/>
      <c r="B1058" s="76"/>
      <c r="C1058" s="76"/>
      <c r="D1058" s="188"/>
      <c r="E1058" s="44"/>
      <c r="F1058" s="44"/>
      <c r="G1058" s="44"/>
      <c r="H1058" s="44"/>
      <c r="I1058" s="44"/>
      <c r="J1058" s="44"/>
      <c r="K1058" s="44"/>
      <c r="L1058" s="44"/>
      <c r="M1058" s="44"/>
      <c r="N1058" s="37"/>
      <c r="O1058" s="38"/>
      <c r="P1058" s="34"/>
      <c r="Q1058" s="34"/>
      <c r="R1058" s="76"/>
      <c r="S1058" s="47"/>
      <c r="T1058" s="42"/>
      <c r="U1058" s="147"/>
      <c r="W1058" s="96"/>
      <c r="X1058" s="223"/>
      <c r="Y1058" s="98"/>
      <c r="Z1058" s="97"/>
      <c r="AA1058" s="99"/>
    </row>
    <row r="1059" spans="1:27" s="95" customFormat="1">
      <c r="A1059" s="34"/>
      <c r="B1059" s="76"/>
      <c r="C1059" s="76"/>
      <c r="D1059" s="188"/>
      <c r="E1059" s="44"/>
      <c r="F1059" s="44"/>
      <c r="G1059" s="44"/>
      <c r="H1059" s="44"/>
      <c r="I1059" s="44"/>
      <c r="J1059" s="44"/>
      <c r="K1059" s="44"/>
      <c r="L1059" s="44"/>
      <c r="M1059" s="44"/>
      <c r="N1059" s="37"/>
      <c r="O1059" s="38"/>
      <c r="P1059" s="34"/>
      <c r="Q1059" s="34"/>
      <c r="R1059" s="76"/>
      <c r="S1059" s="47"/>
      <c r="T1059" s="42"/>
      <c r="U1059" s="147"/>
      <c r="W1059" s="96"/>
      <c r="X1059" s="223"/>
      <c r="Y1059" s="98"/>
      <c r="Z1059" s="97"/>
      <c r="AA1059" s="99"/>
    </row>
    <row r="1060" spans="1:27" s="95" customFormat="1">
      <c r="A1060" s="34"/>
      <c r="B1060" s="76"/>
      <c r="C1060" s="76"/>
      <c r="D1060" s="188"/>
      <c r="E1060" s="44"/>
      <c r="F1060" s="44"/>
      <c r="G1060" s="44"/>
      <c r="H1060" s="44"/>
      <c r="I1060" s="44"/>
      <c r="J1060" s="44"/>
      <c r="K1060" s="44"/>
      <c r="L1060" s="44"/>
      <c r="M1060" s="44"/>
      <c r="N1060" s="37"/>
      <c r="O1060" s="38"/>
      <c r="P1060" s="34"/>
      <c r="Q1060" s="34"/>
      <c r="R1060" s="76"/>
      <c r="S1060" s="47"/>
      <c r="T1060" s="42"/>
      <c r="U1060" s="147"/>
      <c r="W1060" s="96"/>
      <c r="X1060" s="223"/>
      <c r="Y1060" s="98"/>
      <c r="Z1060" s="97"/>
      <c r="AA1060" s="99"/>
    </row>
    <row r="1061" spans="1:27" s="95" customFormat="1">
      <c r="A1061" s="34"/>
      <c r="B1061" s="76"/>
      <c r="C1061" s="76"/>
      <c r="D1061" s="188"/>
      <c r="E1061" s="44"/>
      <c r="F1061" s="44"/>
      <c r="G1061" s="44"/>
      <c r="H1061" s="44"/>
      <c r="I1061" s="44"/>
      <c r="J1061" s="44"/>
      <c r="K1061" s="44"/>
      <c r="L1061" s="44"/>
      <c r="M1061" s="44"/>
      <c r="N1061" s="37"/>
      <c r="O1061" s="38"/>
      <c r="P1061" s="34"/>
      <c r="Q1061" s="34"/>
      <c r="R1061" s="76"/>
      <c r="S1061" s="47"/>
      <c r="T1061" s="42"/>
      <c r="U1061" s="147"/>
      <c r="W1061" s="96"/>
      <c r="X1061" s="223"/>
      <c r="Y1061" s="98"/>
      <c r="Z1061" s="97"/>
      <c r="AA1061" s="99"/>
    </row>
    <row r="1062" spans="1:27" s="95" customFormat="1">
      <c r="A1062" s="34"/>
      <c r="B1062" s="76"/>
      <c r="C1062" s="76"/>
      <c r="D1062" s="188"/>
      <c r="E1062" s="44"/>
      <c r="F1062" s="44"/>
      <c r="G1062" s="44"/>
      <c r="H1062" s="44"/>
      <c r="I1062" s="44"/>
      <c r="J1062" s="44"/>
      <c r="K1062" s="44"/>
      <c r="L1062" s="44"/>
      <c r="M1062" s="44"/>
      <c r="N1062" s="37"/>
      <c r="O1062" s="38"/>
      <c r="P1062" s="34"/>
      <c r="Q1062" s="34"/>
      <c r="R1062" s="76"/>
      <c r="S1062" s="47"/>
      <c r="T1062" s="42"/>
      <c r="U1062" s="147"/>
      <c r="W1062" s="96"/>
      <c r="X1062" s="223"/>
      <c r="Y1062" s="98"/>
      <c r="Z1062" s="97"/>
      <c r="AA1062" s="99"/>
    </row>
    <row r="1063" spans="1:27" s="95" customFormat="1">
      <c r="A1063" s="34"/>
      <c r="B1063" s="76"/>
      <c r="C1063" s="76"/>
      <c r="D1063" s="188"/>
      <c r="E1063" s="44"/>
      <c r="F1063" s="44"/>
      <c r="G1063" s="44"/>
      <c r="H1063" s="44"/>
      <c r="I1063" s="44"/>
      <c r="J1063" s="44"/>
      <c r="K1063" s="44"/>
      <c r="L1063" s="44"/>
      <c r="M1063" s="44"/>
      <c r="N1063" s="37"/>
      <c r="O1063" s="38"/>
      <c r="P1063" s="34"/>
      <c r="Q1063" s="34"/>
      <c r="R1063" s="76"/>
      <c r="S1063" s="47"/>
      <c r="T1063" s="42"/>
      <c r="U1063" s="147"/>
      <c r="W1063" s="96"/>
      <c r="X1063" s="223"/>
      <c r="Y1063" s="98"/>
      <c r="Z1063" s="97"/>
      <c r="AA1063" s="99"/>
    </row>
    <row r="1064" spans="1:27" s="95" customFormat="1">
      <c r="A1064" s="34"/>
      <c r="B1064" s="76"/>
      <c r="C1064" s="76"/>
      <c r="D1064" s="188"/>
      <c r="E1064" s="44"/>
      <c r="F1064" s="44"/>
      <c r="G1064" s="44"/>
      <c r="H1064" s="44"/>
      <c r="I1064" s="44"/>
      <c r="J1064" s="44"/>
      <c r="K1064" s="44"/>
      <c r="L1064" s="44"/>
      <c r="M1064" s="44"/>
      <c r="N1064" s="37"/>
      <c r="O1064" s="38"/>
      <c r="P1064" s="34"/>
      <c r="Q1064" s="34"/>
      <c r="R1064" s="76"/>
      <c r="S1064" s="47"/>
      <c r="T1064" s="42"/>
      <c r="U1064" s="147"/>
      <c r="W1064" s="96"/>
      <c r="X1064" s="223"/>
      <c r="Y1064" s="98"/>
      <c r="Z1064" s="97"/>
      <c r="AA1064" s="99"/>
    </row>
    <row r="1065" spans="1:27" s="95" customFormat="1">
      <c r="A1065" s="34"/>
      <c r="B1065" s="76"/>
      <c r="C1065" s="76"/>
      <c r="D1065" s="188"/>
      <c r="E1065" s="44"/>
      <c r="F1065" s="44"/>
      <c r="G1065" s="44"/>
      <c r="H1065" s="44"/>
      <c r="I1065" s="44"/>
      <c r="J1065" s="44"/>
      <c r="K1065" s="44"/>
      <c r="L1065" s="44"/>
      <c r="M1065" s="44"/>
      <c r="N1065" s="37"/>
      <c r="O1065" s="38"/>
      <c r="P1065" s="34"/>
      <c r="Q1065" s="34"/>
      <c r="R1065" s="76"/>
      <c r="S1065" s="47"/>
      <c r="T1065" s="42"/>
      <c r="U1065" s="147"/>
      <c r="W1065" s="96"/>
      <c r="X1065" s="223"/>
      <c r="Y1065" s="98"/>
      <c r="Z1065" s="97"/>
      <c r="AA1065" s="99"/>
    </row>
    <row r="1066" spans="1:27" s="95" customFormat="1">
      <c r="A1066" s="34"/>
      <c r="B1066" s="76"/>
      <c r="C1066" s="76"/>
      <c r="D1066" s="188"/>
      <c r="E1066" s="44"/>
      <c r="F1066" s="44"/>
      <c r="G1066" s="44"/>
      <c r="H1066" s="44"/>
      <c r="I1066" s="44"/>
      <c r="J1066" s="44"/>
      <c r="K1066" s="44"/>
      <c r="L1066" s="44"/>
      <c r="M1066" s="44"/>
      <c r="N1066" s="37"/>
      <c r="O1066" s="38"/>
      <c r="P1066" s="34"/>
      <c r="Q1066" s="34"/>
      <c r="R1066" s="76"/>
      <c r="S1066" s="47"/>
      <c r="T1066" s="42"/>
      <c r="U1066" s="147"/>
      <c r="W1066" s="96"/>
      <c r="X1066" s="223"/>
      <c r="Y1066" s="98"/>
      <c r="Z1066" s="97"/>
      <c r="AA1066" s="99"/>
    </row>
    <row r="1067" spans="1:27" s="95" customFormat="1">
      <c r="A1067" s="34"/>
      <c r="B1067" s="76"/>
      <c r="C1067" s="76"/>
      <c r="D1067" s="188"/>
      <c r="E1067" s="44"/>
      <c r="F1067" s="44"/>
      <c r="G1067" s="44"/>
      <c r="H1067" s="44"/>
      <c r="I1067" s="44"/>
      <c r="J1067" s="44"/>
      <c r="K1067" s="44"/>
      <c r="L1067" s="44"/>
      <c r="M1067" s="44"/>
      <c r="N1067" s="37"/>
      <c r="O1067" s="38"/>
      <c r="P1067" s="34"/>
      <c r="Q1067" s="34"/>
      <c r="R1067" s="76"/>
      <c r="S1067" s="47"/>
      <c r="T1067" s="42"/>
      <c r="U1067" s="147"/>
      <c r="W1067" s="96"/>
      <c r="X1067" s="223"/>
      <c r="Y1067" s="98"/>
      <c r="Z1067" s="97"/>
      <c r="AA1067" s="99"/>
    </row>
    <row r="1068" spans="1:27" s="95" customFormat="1">
      <c r="A1068" s="34"/>
      <c r="B1068" s="76"/>
      <c r="C1068" s="76"/>
      <c r="D1068" s="188"/>
      <c r="E1068" s="44"/>
      <c r="F1068" s="44"/>
      <c r="G1068" s="44"/>
      <c r="H1068" s="44"/>
      <c r="I1068" s="44"/>
      <c r="J1068" s="44"/>
      <c r="K1068" s="44"/>
      <c r="L1068" s="44"/>
      <c r="M1068" s="44"/>
      <c r="N1068" s="37"/>
      <c r="O1068" s="38"/>
      <c r="P1068" s="34"/>
      <c r="Q1068" s="34"/>
      <c r="R1068" s="76"/>
      <c r="S1068" s="47"/>
      <c r="T1068" s="42"/>
      <c r="U1068" s="147"/>
      <c r="W1068" s="96"/>
      <c r="X1068" s="223"/>
      <c r="Y1068" s="98"/>
      <c r="Z1068" s="97"/>
      <c r="AA1068" s="99"/>
    </row>
    <row r="1069" spans="1:27" s="95" customFormat="1">
      <c r="A1069" s="34"/>
      <c r="B1069" s="76"/>
      <c r="C1069" s="76"/>
      <c r="D1069" s="188"/>
      <c r="E1069" s="44"/>
      <c r="F1069" s="44"/>
      <c r="G1069" s="44"/>
      <c r="H1069" s="44"/>
      <c r="I1069" s="44"/>
      <c r="J1069" s="44"/>
      <c r="K1069" s="44"/>
      <c r="L1069" s="44"/>
      <c r="M1069" s="44"/>
      <c r="N1069" s="37"/>
      <c r="O1069" s="38"/>
      <c r="P1069" s="34"/>
      <c r="Q1069" s="34"/>
      <c r="R1069" s="76"/>
      <c r="S1069" s="47"/>
      <c r="T1069" s="42"/>
      <c r="U1069" s="147"/>
      <c r="W1069" s="96"/>
      <c r="X1069" s="223"/>
      <c r="Y1069" s="98"/>
      <c r="Z1069" s="97"/>
      <c r="AA1069" s="99"/>
    </row>
    <row r="1070" spans="1:27" s="95" customFormat="1">
      <c r="A1070" s="34"/>
      <c r="B1070" s="76"/>
      <c r="C1070" s="76"/>
      <c r="D1070" s="188"/>
      <c r="E1070" s="44"/>
      <c r="F1070" s="44"/>
      <c r="G1070" s="44"/>
      <c r="H1070" s="44"/>
      <c r="I1070" s="44"/>
      <c r="J1070" s="44"/>
      <c r="K1070" s="44"/>
      <c r="L1070" s="44"/>
      <c r="M1070" s="44"/>
      <c r="N1070" s="37"/>
      <c r="O1070" s="38"/>
      <c r="P1070" s="34"/>
      <c r="Q1070" s="34"/>
      <c r="R1070" s="76"/>
      <c r="S1070" s="47"/>
      <c r="T1070" s="42"/>
      <c r="U1070" s="147"/>
      <c r="W1070" s="96"/>
      <c r="X1070" s="223"/>
      <c r="Y1070" s="98"/>
      <c r="Z1070" s="97"/>
      <c r="AA1070" s="99"/>
    </row>
    <row r="1071" spans="1:27" s="95" customFormat="1">
      <c r="A1071" s="34"/>
      <c r="B1071" s="76"/>
      <c r="C1071" s="76"/>
      <c r="D1071" s="188"/>
      <c r="E1071" s="44"/>
      <c r="F1071" s="44"/>
      <c r="G1071" s="44"/>
      <c r="H1071" s="44"/>
      <c r="I1071" s="44"/>
      <c r="J1071" s="44"/>
      <c r="K1071" s="44"/>
      <c r="L1071" s="44"/>
      <c r="M1071" s="44"/>
      <c r="N1071" s="37"/>
      <c r="O1071" s="38"/>
      <c r="P1071" s="34"/>
      <c r="Q1071" s="34"/>
      <c r="R1071" s="76"/>
      <c r="S1071" s="47"/>
      <c r="T1071" s="42"/>
      <c r="U1071" s="147"/>
      <c r="W1071" s="96"/>
      <c r="X1071" s="223"/>
      <c r="Y1071" s="98"/>
      <c r="Z1071" s="97"/>
      <c r="AA1071" s="99"/>
    </row>
    <row r="1072" spans="1:27" s="95" customFormat="1">
      <c r="A1072" s="34"/>
      <c r="B1072" s="76"/>
      <c r="C1072" s="76"/>
      <c r="D1072" s="188"/>
      <c r="E1072" s="44"/>
      <c r="F1072" s="44"/>
      <c r="G1072" s="44"/>
      <c r="H1072" s="44"/>
      <c r="I1072" s="44"/>
      <c r="J1072" s="44"/>
      <c r="K1072" s="44"/>
      <c r="L1072" s="44"/>
      <c r="M1072" s="44"/>
      <c r="N1072" s="37"/>
      <c r="O1072" s="38"/>
      <c r="P1072" s="34"/>
      <c r="Q1072" s="34"/>
      <c r="R1072" s="76"/>
      <c r="S1072" s="47"/>
      <c r="T1072" s="42"/>
      <c r="U1072" s="147"/>
      <c r="W1072" s="96"/>
      <c r="X1072" s="223"/>
      <c r="Y1072" s="98"/>
      <c r="Z1072" s="97"/>
      <c r="AA1072" s="99"/>
    </row>
    <row r="1073" spans="1:27" s="95" customFormat="1">
      <c r="A1073" s="34"/>
      <c r="B1073" s="76"/>
      <c r="C1073" s="76"/>
      <c r="D1073" s="188"/>
      <c r="E1073" s="44"/>
      <c r="F1073" s="44"/>
      <c r="G1073" s="44"/>
      <c r="H1073" s="44"/>
      <c r="I1073" s="44"/>
      <c r="J1073" s="44"/>
      <c r="K1073" s="44"/>
      <c r="L1073" s="44"/>
      <c r="M1073" s="44"/>
      <c r="N1073" s="37"/>
      <c r="O1073" s="38"/>
      <c r="P1073" s="34"/>
      <c r="Q1073" s="34"/>
      <c r="R1073" s="76"/>
      <c r="S1073" s="47"/>
      <c r="T1073" s="42"/>
      <c r="U1073" s="147"/>
      <c r="W1073" s="96"/>
      <c r="X1073" s="223"/>
      <c r="Y1073" s="98"/>
      <c r="Z1073" s="97"/>
      <c r="AA1073" s="99"/>
    </row>
    <row r="1074" spans="1:27" s="95" customFormat="1">
      <c r="A1074" s="34"/>
      <c r="B1074" s="76"/>
      <c r="C1074" s="76"/>
      <c r="D1074" s="188"/>
      <c r="E1074" s="44"/>
      <c r="F1074" s="44"/>
      <c r="G1074" s="44"/>
      <c r="H1074" s="44"/>
      <c r="I1074" s="44"/>
      <c r="J1074" s="44"/>
      <c r="K1074" s="44"/>
      <c r="L1074" s="44"/>
      <c r="M1074" s="44"/>
      <c r="N1074" s="37"/>
      <c r="O1074" s="38"/>
      <c r="P1074" s="34"/>
      <c r="Q1074" s="34"/>
      <c r="R1074" s="76"/>
      <c r="S1074" s="47"/>
      <c r="T1074" s="42"/>
      <c r="U1074" s="147"/>
      <c r="W1074" s="96"/>
      <c r="X1074" s="223"/>
      <c r="Y1074" s="98"/>
      <c r="Z1074" s="97"/>
      <c r="AA1074" s="99"/>
    </row>
    <row r="1075" spans="1:27" s="95" customFormat="1">
      <c r="A1075" s="34"/>
      <c r="B1075" s="76"/>
      <c r="C1075" s="76"/>
      <c r="D1075" s="188"/>
      <c r="E1075" s="44"/>
      <c r="F1075" s="44"/>
      <c r="G1075" s="44"/>
      <c r="H1075" s="44"/>
      <c r="I1075" s="44"/>
      <c r="J1075" s="44"/>
      <c r="K1075" s="44"/>
      <c r="L1075" s="44"/>
      <c r="M1075" s="44"/>
      <c r="N1075" s="37"/>
      <c r="O1075" s="38"/>
      <c r="P1075" s="34"/>
      <c r="Q1075" s="34"/>
      <c r="R1075" s="76"/>
      <c r="S1075" s="47"/>
      <c r="T1075" s="42"/>
      <c r="U1075" s="147"/>
      <c r="W1075" s="96"/>
      <c r="X1075" s="223"/>
      <c r="Y1075" s="98"/>
      <c r="Z1075" s="97"/>
      <c r="AA1075" s="99"/>
    </row>
    <row r="1076" spans="1:27" s="95" customFormat="1">
      <c r="A1076" s="34"/>
      <c r="B1076" s="76"/>
      <c r="C1076" s="76"/>
      <c r="D1076" s="188"/>
      <c r="E1076" s="44"/>
      <c r="F1076" s="44"/>
      <c r="G1076" s="44"/>
      <c r="H1076" s="44"/>
      <c r="I1076" s="44"/>
      <c r="J1076" s="44"/>
      <c r="K1076" s="44"/>
      <c r="L1076" s="44"/>
      <c r="M1076" s="44"/>
      <c r="N1076" s="37"/>
      <c r="O1076" s="38"/>
      <c r="P1076" s="34"/>
      <c r="Q1076" s="34"/>
      <c r="R1076" s="76"/>
      <c r="S1076" s="47"/>
      <c r="T1076" s="42"/>
      <c r="U1076" s="147"/>
      <c r="W1076" s="96"/>
      <c r="X1076" s="223"/>
      <c r="Y1076" s="98"/>
      <c r="Z1076" s="97"/>
      <c r="AA1076" s="99"/>
    </row>
    <row r="1077" spans="1:27" s="95" customFormat="1">
      <c r="A1077" s="34"/>
      <c r="B1077" s="76"/>
      <c r="C1077" s="76"/>
      <c r="D1077" s="188"/>
      <c r="E1077" s="44"/>
      <c r="F1077" s="44"/>
      <c r="G1077" s="44"/>
      <c r="H1077" s="44"/>
      <c r="I1077" s="44"/>
      <c r="J1077" s="44"/>
      <c r="K1077" s="44"/>
      <c r="L1077" s="44"/>
      <c r="M1077" s="44"/>
      <c r="N1077" s="37"/>
      <c r="O1077" s="38"/>
      <c r="P1077" s="34"/>
      <c r="Q1077" s="34"/>
      <c r="R1077" s="76"/>
      <c r="S1077" s="47"/>
      <c r="T1077" s="42"/>
      <c r="U1077" s="147"/>
      <c r="W1077" s="96"/>
      <c r="X1077" s="223"/>
      <c r="Y1077" s="98"/>
      <c r="Z1077" s="97"/>
      <c r="AA1077" s="99"/>
    </row>
    <row r="1078" spans="1:27" s="95" customFormat="1">
      <c r="A1078" s="34"/>
      <c r="B1078" s="76"/>
      <c r="C1078" s="76"/>
      <c r="D1078" s="188"/>
      <c r="E1078" s="44"/>
      <c r="F1078" s="44"/>
      <c r="G1078" s="44"/>
      <c r="H1078" s="44"/>
      <c r="I1078" s="44"/>
      <c r="J1078" s="44"/>
      <c r="K1078" s="44"/>
      <c r="L1078" s="44"/>
      <c r="M1078" s="44"/>
      <c r="N1078" s="37"/>
      <c r="O1078" s="38"/>
      <c r="P1078" s="34"/>
      <c r="Q1078" s="34"/>
      <c r="R1078" s="76"/>
      <c r="S1078" s="47"/>
      <c r="T1078" s="42"/>
      <c r="U1078" s="147"/>
      <c r="W1078" s="96"/>
      <c r="X1078" s="223"/>
      <c r="Y1078" s="98"/>
      <c r="Z1078" s="97"/>
      <c r="AA1078" s="99"/>
    </row>
    <row r="1079" spans="1:27" s="95" customFormat="1">
      <c r="A1079" s="34"/>
      <c r="B1079" s="76"/>
      <c r="C1079" s="76"/>
      <c r="D1079" s="188"/>
      <c r="E1079" s="44"/>
      <c r="F1079" s="44"/>
      <c r="G1079" s="44"/>
      <c r="H1079" s="44"/>
      <c r="I1079" s="44"/>
      <c r="J1079" s="44"/>
      <c r="K1079" s="44"/>
      <c r="L1079" s="44"/>
      <c r="M1079" s="44"/>
      <c r="N1079" s="37"/>
      <c r="O1079" s="38"/>
      <c r="P1079" s="34"/>
      <c r="Q1079" s="34"/>
      <c r="R1079" s="76"/>
      <c r="S1079" s="47"/>
      <c r="T1079" s="42"/>
      <c r="U1079" s="147"/>
      <c r="W1079" s="96"/>
      <c r="X1079" s="223"/>
      <c r="Y1079" s="98"/>
      <c r="Z1079" s="97"/>
      <c r="AA1079" s="99"/>
    </row>
    <row r="1080" spans="1:27" s="95" customFormat="1">
      <c r="A1080" s="34"/>
      <c r="B1080" s="76"/>
      <c r="C1080" s="76"/>
      <c r="D1080" s="188"/>
      <c r="E1080" s="44"/>
      <c r="F1080" s="44"/>
      <c r="G1080" s="44"/>
      <c r="H1080" s="44"/>
      <c r="I1080" s="44"/>
      <c r="J1080" s="44"/>
      <c r="K1080" s="44"/>
      <c r="L1080" s="44"/>
      <c r="M1080" s="44"/>
      <c r="N1080" s="37"/>
      <c r="O1080" s="38"/>
      <c r="P1080" s="34"/>
      <c r="Q1080" s="34"/>
      <c r="R1080" s="76"/>
      <c r="S1080" s="47"/>
      <c r="T1080" s="42"/>
      <c r="U1080" s="147"/>
      <c r="W1080" s="96"/>
      <c r="X1080" s="223"/>
      <c r="Y1080" s="98"/>
      <c r="Z1080" s="97"/>
      <c r="AA1080" s="99"/>
    </row>
    <row r="1081" spans="1:27" s="95" customFormat="1">
      <c r="A1081" s="34"/>
      <c r="B1081" s="76"/>
      <c r="C1081" s="76"/>
      <c r="D1081" s="188"/>
      <c r="E1081" s="44"/>
      <c r="F1081" s="44"/>
      <c r="G1081" s="44"/>
      <c r="H1081" s="44"/>
      <c r="I1081" s="44"/>
      <c r="J1081" s="44"/>
      <c r="K1081" s="44"/>
      <c r="L1081" s="44"/>
      <c r="M1081" s="44"/>
      <c r="N1081" s="37"/>
      <c r="O1081" s="38"/>
      <c r="P1081" s="34"/>
      <c r="Q1081" s="34"/>
      <c r="R1081" s="76"/>
      <c r="S1081" s="47"/>
      <c r="T1081" s="42"/>
      <c r="U1081" s="147"/>
      <c r="W1081" s="96"/>
      <c r="X1081" s="223"/>
      <c r="Y1081" s="98"/>
      <c r="Z1081" s="97"/>
      <c r="AA1081" s="99"/>
    </row>
    <row r="1082" spans="1:27" s="95" customFormat="1">
      <c r="A1082" s="34"/>
      <c r="B1082" s="76"/>
      <c r="C1082" s="76"/>
      <c r="D1082" s="188"/>
      <c r="E1082" s="44"/>
      <c r="F1082" s="44"/>
      <c r="G1082" s="44"/>
      <c r="H1082" s="44"/>
      <c r="I1082" s="44"/>
      <c r="J1082" s="44"/>
      <c r="K1082" s="44"/>
      <c r="L1082" s="44"/>
      <c r="M1082" s="44"/>
      <c r="N1082" s="37"/>
      <c r="O1082" s="38"/>
      <c r="P1082" s="34"/>
      <c r="Q1082" s="34"/>
      <c r="R1082" s="76"/>
      <c r="S1082" s="47"/>
      <c r="T1082" s="42"/>
      <c r="U1082" s="147"/>
      <c r="W1082" s="96"/>
      <c r="X1082" s="223"/>
      <c r="Y1082" s="98"/>
      <c r="Z1082" s="97"/>
      <c r="AA1082" s="99"/>
    </row>
    <row r="1083" spans="1:27" s="95" customFormat="1">
      <c r="A1083" s="34"/>
      <c r="B1083" s="76"/>
      <c r="C1083" s="76"/>
      <c r="D1083" s="188"/>
      <c r="E1083" s="44"/>
      <c r="F1083" s="44"/>
      <c r="G1083" s="44"/>
      <c r="H1083" s="44"/>
      <c r="I1083" s="44"/>
      <c r="J1083" s="44"/>
      <c r="K1083" s="44"/>
      <c r="L1083" s="44"/>
      <c r="M1083" s="44"/>
      <c r="N1083" s="37"/>
      <c r="O1083" s="38"/>
      <c r="P1083" s="34"/>
      <c r="Q1083" s="34"/>
      <c r="R1083" s="76"/>
      <c r="S1083" s="47"/>
      <c r="T1083" s="42"/>
      <c r="U1083" s="147"/>
      <c r="W1083" s="96"/>
      <c r="X1083" s="223"/>
      <c r="Y1083" s="98"/>
      <c r="Z1083" s="97"/>
      <c r="AA1083" s="99"/>
    </row>
    <row r="1084" spans="1:27" s="95" customFormat="1">
      <c r="A1084" s="34"/>
      <c r="B1084" s="76"/>
      <c r="C1084" s="76"/>
      <c r="D1084" s="188"/>
      <c r="E1084" s="44"/>
      <c r="F1084" s="44"/>
      <c r="G1084" s="44"/>
      <c r="H1084" s="44"/>
      <c r="I1084" s="44"/>
      <c r="J1084" s="44"/>
      <c r="K1084" s="44"/>
      <c r="L1084" s="44"/>
      <c r="M1084" s="44"/>
      <c r="N1084" s="37"/>
      <c r="O1084" s="38"/>
      <c r="P1084" s="34"/>
      <c r="Q1084" s="34"/>
      <c r="R1084" s="76"/>
      <c r="S1084" s="47"/>
      <c r="T1084" s="42"/>
      <c r="U1084" s="147"/>
      <c r="W1084" s="96"/>
      <c r="X1084" s="223"/>
      <c r="Y1084" s="98"/>
      <c r="Z1084" s="97"/>
      <c r="AA1084" s="99"/>
    </row>
    <row r="1085" spans="1:27" s="95" customFormat="1">
      <c r="A1085" s="34"/>
      <c r="B1085" s="76"/>
      <c r="C1085" s="76"/>
      <c r="D1085" s="188"/>
      <c r="E1085" s="44"/>
      <c r="F1085" s="44"/>
      <c r="G1085" s="44"/>
      <c r="H1085" s="44"/>
      <c r="I1085" s="44"/>
      <c r="J1085" s="44"/>
      <c r="K1085" s="44"/>
      <c r="L1085" s="44"/>
      <c r="M1085" s="44"/>
      <c r="N1085" s="37"/>
      <c r="O1085" s="38"/>
      <c r="P1085" s="34"/>
      <c r="Q1085" s="34"/>
      <c r="R1085" s="76"/>
      <c r="S1085" s="47"/>
      <c r="T1085" s="42"/>
      <c r="U1085" s="147"/>
      <c r="W1085" s="96"/>
      <c r="X1085" s="223"/>
      <c r="Y1085" s="98"/>
      <c r="Z1085" s="97"/>
      <c r="AA1085" s="99"/>
    </row>
    <row r="1086" spans="1:27" s="95" customFormat="1">
      <c r="A1086" s="34"/>
      <c r="B1086" s="76"/>
      <c r="C1086" s="76"/>
      <c r="D1086" s="188"/>
      <c r="E1086" s="44"/>
      <c r="F1086" s="44"/>
      <c r="G1086" s="44"/>
      <c r="H1086" s="44"/>
      <c r="I1086" s="44"/>
      <c r="J1086" s="44"/>
      <c r="K1086" s="44"/>
      <c r="L1086" s="44"/>
      <c r="M1086" s="44"/>
      <c r="N1086" s="37"/>
      <c r="O1086" s="38"/>
      <c r="P1086" s="34"/>
      <c r="Q1086" s="34"/>
      <c r="R1086" s="76"/>
      <c r="S1086" s="47"/>
      <c r="T1086" s="42"/>
      <c r="U1086" s="147"/>
      <c r="W1086" s="96"/>
      <c r="X1086" s="223"/>
      <c r="Y1086" s="98"/>
      <c r="Z1086" s="97"/>
      <c r="AA1086" s="99"/>
    </row>
    <row r="1087" spans="1:27" s="95" customFormat="1">
      <c r="A1087" s="34"/>
      <c r="B1087" s="76"/>
      <c r="C1087" s="76"/>
      <c r="D1087" s="188"/>
      <c r="E1087" s="44"/>
      <c r="F1087" s="44"/>
      <c r="G1087" s="44"/>
      <c r="H1087" s="44"/>
      <c r="I1087" s="44"/>
      <c r="J1087" s="44"/>
      <c r="K1087" s="44"/>
      <c r="L1087" s="44"/>
      <c r="M1087" s="44"/>
      <c r="N1087" s="37"/>
      <c r="O1087" s="38"/>
      <c r="P1087" s="34"/>
      <c r="Q1087" s="34"/>
      <c r="R1087" s="76"/>
      <c r="S1087" s="47"/>
      <c r="T1087" s="42"/>
      <c r="U1087" s="147"/>
      <c r="W1087" s="96"/>
      <c r="X1087" s="223"/>
      <c r="Y1087" s="98"/>
      <c r="Z1087" s="97"/>
      <c r="AA1087" s="99"/>
    </row>
    <row r="1088" spans="1:27" s="95" customFormat="1">
      <c r="A1088" s="34"/>
      <c r="B1088" s="76"/>
      <c r="C1088" s="76"/>
      <c r="D1088" s="188"/>
      <c r="E1088" s="44"/>
      <c r="F1088" s="44"/>
      <c r="G1088" s="44"/>
      <c r="H1088" s="44"/>
      <c r="I1088" s="44"/>
      <c r="J1088" s="44"/>
      <c r="K1088" s="44"/>
      <c r="L1088" s="44"/>
      <c r="M1088" s="44"/>
      <c r="N1088" s="37"/>
      <c r="O1088" s="38"/>
      <c r="P1088" s="34"/>
      <c r="Q1088" s="34"/>
      <c r="R1088" s="76"/>
      <c r="S1088" s="47"/>
      <c r="T1088" s="42"/>
      <c r="U1088" s="147"/>
      <c r="W1088" s="96"/>
      <c r="X1088" s="223"/>
      <c r="Y1088" s="98"/>
      <c r="Z1088" s="97"/>
      <c r="AA1088" s="99"/>
    </row>
    <row r="1089" spans="1:27" s="95" customFormat="1">
      <c r="A1089" s="34"/>
      <c r="B1089" s="76"/>
      <c r="C1089" s="76"/>
      <c r="D1089" s="188"/>
      <c r="E1089" s="44"/>
      <c r="F1089" s="44"/>
      <c r="G1089" s="44"/>
      <c r="H1089" s="44"/>
      <c r="I1089" s="44"/>
      <c r="J1089" s="44"/>
      <c r="K1089" s="44"/>
      <c r="L1089" s="44"/>
      <c r="M1089" s="44"/>
      <c r="N1089" s="37"/>
      <c r="O1089" s="38"/>
      <c r="P1089" s="34"/>
      <c r="Q1089" s="34"/>
      <c r="R1089" s="76"/>
      <c r="S1089" s="47"/>
      <c r="T1089" s="42"/>
      <c r="U1089" s="147"/>
      <c r="W1089" s="96"/>
      <c r="X1089" s="223"/>
      <c r="Y1089" s="98"/>
      <c r="Z1089" s="97"/>
      <c r="AA1089" s="99"/>
    </row>
    <row r="1090" spans="1:27" s="95" customFormat="1">
      <c r="A1090" s="34"/>
      <c r="B1090" s="76"/>
      <c r="C1090" s="76"/>
      <c r="D1090" s="188"/>
      <c r="E1090" s="44"/>
      <c r="F1090" s="44"/>
      <c r="G1090" s="44"/>
      <c r="H1090" s="44"/>
      <c r="I1090" s="44"/>
      <c r="J1090" s="44"/>
      <c r="K1090" s="44"/>
      <c r="L1090" s="44"/>
      <c r="M1090" s="44"/>
      <c r="N1090" s="37"/>
      <c r="O1090" s="38"/>
      <c r="P1090" s="34"/>
      <c r="Q1090" s="34"/>
      <c r="R1090" s="76"/>
      <c r="S1090" s="47"/>
      <c r="T1090" s="42"/>
      <c r="U1090" s="147"/>
      <c r="W1090" s="96"/>
      <c r="X1090" s="223"/>
      <c r="Y1090" s="98"/>
      <c r="Z1090" s="97"/>
      <c r="AA1090" s="99"/>
    </row>
    <row r="1091" spans="1:27" s="95" customFormat="1">
      <c r="A1091" s="34"/>
      <c r="B1091" s="76"/>
      <c r="C1091" s="76"/>
      <c r="D1091" s="188"/>
      <c r="E1091" s="44"/>
      <c r="F1091" s="44"/>
      <c r="G1091" s="44"/>
      <c r="H1091" s="44"/>
      <c r="I1091" s="44"/>
      <c r="J1091" s="44"/>
      <c r="K1091" s="44"/>
      <c r="L1091" s="44"/>
      <c r="M1091" s="44"/>
      <c r="N1091" s="37"/>
      <c r="O1091" s="38"/>
      <c r="P1091" s="34"/>
      <c r="Q1091" s="34"/>
      <c r="R1091" s="76"/>
      <c r="S1091" s="47"/>
      <c r="T1091" s="42"/>
      <c r="U1091" s="147"/>
      <c r="W1091" s="96"/>
      <c r="X1091" s="223"/>
      <c r="Y1091" s="98"/>
      <c r="Z1091" s="97"/>
      <c r="AA1091" s="99"/>
    </row>
    <row r="1092" spans="1:27" s="95" customFormat="1">
      <c r="A1092" s="34"/>
      <c r="B1092" s="76"/>
      <c r="C1092" s="76"/>
      <c r="D1092" s="188"/>
      <c r="E1092" s="44"/>
      <c r="F1092" s="44"/>
      <c r="G1092" s="44"/>
      <c r="H1092" s="44"/>
      <c r="I1092" s="44"/>
      <c r="J1092" s="44"/>
      <c r="K1092" s="44"/>
      <c r="L1092" s="44"/>
      <c r="M1092" s="44"/>
      <c r="N1092" s="37"/>
      <c r="O1092" s="38"/>
      <c r="P1092" s="34"/>
      <c r="Q1092" s="34"/>
      <c r="R1092" s="76"/>
      <c r="S1092" s="47"/>
      <c r="T1092" s="42"/>
      <c r="U1092" s="147"/>
      <c r="W1092" s="96"/>
      <c r="X1092" s="223"/>
      <c r="Y1092" s="98"/>
      <c r="Z1092" s="97"/>
      <c r="AA1092" s="99"/>
    </row>
    <row r="1093" spans="1:27" s="95" customFormat="1">
      <c r="A1093" s="34"/>
      <c r="B1093" s="76"/>
      <c r="C1093" s="76"/>
      <c r="D1093" s="188"/>
      <c r="E1093" s="44"/>
      <c r="F1093" s="44"/>
      <c r="G1093" s="44"/>
      <c r="H1093" s="44"/>
      <c r="I1093" s="44"/>
      <c r="J1093" s="44"/>
      <c r="K1093" s="44"/>
      <c r="L1093" s="44"/>
      <c r="M1093" s="44"/>
      <c r="N1093" s="37"/>
      <c r="O1093" s="38"/>
      <c r="P1093" s="34"/>
      <c r="Q1093" s="34"/>
      <c r="R1093" s="76"/>
      <c r="S1093" s="47"/>
      <c r="T1093" s="42"/>
      <c r="U1093" s="147"/>
      <c r="W1093" s="96"/>
      <c r="X1093" s="223"/>
      <c r="Y1093" s="98"/>
      <c r="Z1093" s="97"/>
      <c r="AA1093" s="99"/>
    </row>
    <row r="1094" spans="1:27" s="95" customFormat="1">
      <c r="A1094" s="34"/>
      <c r="B1094" s="76"/>
      <c r="C1094" s="76"/>
      <c r="D1094" s="188"/>
      <c r="E1094" s="44"/>
      <c r="F1094" s="44"/>
      <c r="G1094" s="44"/>
      <c r="H1094" s="44"/>
      <c r="I1094" s="44"/>
      <c r="J1094" s="44"/>
      <c r="K1094" s="44"/>
      <c r="L1094" s="44"/>
      <c r="M1094" s="44"/>
      <c r="N1094" s="37"/>
      <c r="O1094" s="38"/>
      <c r="P1094" s="34"/>
      <c r="Q1094" s="34"/>
      <c r="R1094" s="76"/>
      <c r="S1094" s="47"/>
      <c r="T1094" s="42"/>
      <c r="U1094" s="147"/>
      <c r="W1094" s="96"/>
      <c r="X1094" s="223"/>
      <c r="Y1094" s="98"/>
      <c r="Z1094" s="97"/>
      <c r="AA1094" s="99"/>
    </row>
    <row r="1095" spans="1:27" s="95" customFormat="1">
      <c r="A1095" s="34"/>
      <c r="B1095" s="76"/>
      <c r="C1095" s="76"/>
      <c r="D1095" s="188"/>
      <c r="E1095" s="44"/>
      <c r="F1095" s="44"/>
      <c r="G1095" s="44"/>
      <c r="H1095" s="44"/>
      <c r="I1095" s="44"/>
      <c r="J1095" s="44"/>
      <c r="K1095" s="44"/>
      <c r="L1095" s="44"/>
      <c r="M1095" s="44"/>
      <c r="N1095" s="37"/>
      <c r="O1095" s="38"/>
      <c r="P1095" s="34"/>
      <c r="Q1095" s="34"/>
      <c r="R1095" s="76"/>
      <c r="S1095" s="47"/>
      <c r="T1095" s="42"/>
      <c r="U1095" s="147"/>
      <c r="W1095" s="96"/>
      <c r="X1095" s="223"/>
      <c r="Y1095" s="98"/>
      <c r="Z1095" s="97"/>
      <c r="AA1095" s="99"/>
    </row>
    <row r="1096" spans="1:27" s="95" customFormat="1">
      <c r="A1096" s="34"/>
      <c r="B1096" s="76"/>
      <c r="C1096" s="76"/>
      <c r="D1096" s="188"/>
      <c r="E1096" s="44"/>
      <c r="F1096" s="44"/>
      <c r="G1096" s="44"/>
      <c r="H1096" s="44"/>
      <c r="I1096" s="44"/>
      <c r="J1096" s="44"/>
      <c r="K1096" s="44"/>
      <c r="L1096" s="44"/>
      <c r="M1096" s="44"/>
      <c r="N1096" s="37"/>
      <c r="O1096" s="38"/>
      <c r="P1096" s="34"/>
      <c r="Q1096" s="34"/>
      <c r="R1096" s="76"/>
      <c r="S1096" s="47"/>
      <c r="T1096" s="42"/>
      <c r="U1096" s="147"/>
      <c r="W1096" s="96"/>
      <c r="X1096" s="223"/>
      <c r="Y1096" s="98"/>
      <c r="Z1096" s="97"/>
      <c r="AA1096" s="99"/>
    </row>
    <row r="1097" spans="1:27" s="95" customFormat="1">
      <c r="A1097" s="34"/>
      <c r="B1097" s="76"/>
      <c r="C1097" s="76"/>
      <c r="D1097" s="188"/>
      <c r="E1097" s="44"/>
      <c r="F1097" s="44"/>
      <c r="G1097" s="44"/>
      <c r="H1097" s="44"/>
      <c r="I1097" s="44"/>
      <c r="J1097" s="44"/>
      <c r="K1097" s="44"/>
      <c r="L1097" s="44"/>
      <c r="M1097" s="44"/>
      <c r="N1097" s="37"/>
      <c r="O1097" s="38"/>
      <c r="P1097" s="34"/>
      <c r="Q1097" s="34"/>
      <c r="R1097" s="76"/>
      <c r="S1097" s="47"/>
      <c r="T1097" s="42"/>
      <c r="U1097" s="147"/>
      <c r="W1097" s="96"/>
      <c r="X1097" s="223"/>
      <c r="Y1097" s="98"/>
      <c r="Z1097" s="97"/>
      <c r="AA1097" s="99"/>
    </row>
    <row r="1098" spans="1:27" s="95" customFormat="1">
      <c r="A1098" s="34"/>
      <c r="B1098" s="76"/>
      <c r="C1098" s="76"/>
      <c r="D1098" s="188"/>
      <c r="E1098" s="44"/>
      <c r="F1098" s="44"/>
      <c r="G1098" s="44"/>
      <c r="H1098" s="44"/>
      <c r="I1098" s="44"/>
      <c r="J1098" s="44"/>
      <c r="K1098" s="44"/>
      <c r="L1098" s="44"/>
      <c r="M1098" s="44"/>
      <c r="N1098" s="37"/>
      <c r="O1098" s="38"/>
      <c r="P1098" s="34"/>
      <c r="Q1098" s="34"/>
      <c r="R1098" s="76"/>
      <c r="S1098" s="47"/>
      <c r="T1098" s="42"/>
      <c r="U1098" s="147"/>
      <c r="W1098" s="96"/>
      <c r="X1098" s="223"/>
      <c r="Y1098" s="98"/>
      <c r="Z1098" s="97"/>
      <c r="AA1098" s="99"/>
    </row>
    <row r="1099" spans="1:27" s="95" customFormat="1">
      <c r="A1099" s="34"/>
      <c r="B1099" s="76"/>
      <c r="C1099" s="76"/>
      <c r="D1099" s="188"/>
      <c r="E1099" s="44"/>
      <c r="F1099" s="44"/>
      <c r="G1099" s="44"/>
      <c r="H1099" s="44"/>
      <c r="I1099" s="44"/>
      <c r="J1099" s="44"/>
      <c r="K1099" s="44"/>
      <c r="L1099" s="44"/>
      <c r="M1099" s="44"/>
      <c r="N1099" s="37"/>
      <c r="O1099" s="38"/>
      <c r="P1099" s="34"/>
      <c r="Q1099" s="34"/>
      <c r="R1099" s="76"/>
      <c r="S1099" s="47"/>
      <c r="T1099" s="42"/>
      <c r="U1099" s="147"/>
      <c r="W1099" s="96"/>
      <c r="X1099" s="223"/>
      <c r="Y1099" s="98"/>
      <c r="Z1099" s="97"/>
      <c r="AA1099" s="99"/>
    </row>
    <row r="1100" spans="1:27" s="95" customFormat="1">
      <c r="A1100" s="34"/>
      <c r="B1100" s="76"/>
      <c r="C1100" s="76"/>
      <c r="D1100" s="188"/>
      <c r="E1100" s="44"/>
      <c r="F1100" s="44"/>
      <c r="G1100" s="44"/>
      <c r="H1100" s="44"/>
      <c r="I1100" s="44"/>
      <c r="J1100" s="44"/>
      <c r="K1100" s="44"/>
      <c r="L1100" s="44"/>
      <c r="M1100" s="44"/>
      <c r="N1100" s="37"/>
      <c r="O1100" s="38"/>
      <c r="P1100" s="34"/>
      <c r="Q1100" s="34"/>
      <c r="R1100" s="76"/>
      <c r="S1100" s="47"/>
      <c r="T1100" s="42"/>
      <c r="U1100" s="147"/>
      <c r="W1100" s="96"/>
      <c r="X1100" s="223"/>
      <c r="Y1100" s="98"/>
      <c r="Z1100" s="97"/>
      <c r="AA1100" s="99"/>
    </row>
    <row r="1101" spans="1:27" s="95" customFormat="1">
      <c r="A1101" s="34"/>
      <c r="B1101" s="76"/>
      <c r="C1101" s="76"/>
      <c r="D1101" s="188"/>
      <c r="E1101" s="44"/>
      <c r="F1101" s="44"/>
      <c r="G1101" s="44"/>
      <c r="H1101" s="44"/>
      <c r="I1101" s="44"/>
      <c r="J1101" s="44"/>
      <c r="K1101" s="44"/>
      <c r="L1101" s="44"/>
      <c r="M1101" s="44"/>
      <c r="N1101" s="37"/>
      <c r="O1101" s="38"/>
      <c r="P1101" s="34"/>
      <c r="Q1101" s="39"/>
      <c r="R1101" s="84"/>
      <c r="S1101" s="47"/>
      <c r="T1101" s="42"/>
      <c r="U1101" s="147"/>
      <c r="W1101" s="96"/>
      <c r="X1101" s="223"/>
      <c r="Y1101" s="98"/>
      <c r="Z1101" s="97"/>
      <c r="AA1101" s="99"/>
    </row>
    <row r="1102" spans="1:27" s="95" customFormat="1">
      <c r="A1102" s="34"/>
      <c r="B1102" s="76"/>
      <c r="C1102" s="76"/>
      <c r="D1102" s="188"/>
      <c r="E1102" s="44"/>
      <c r="F1102" s="44"/>
      <c r="G1102" s="44"/>
      <c r="H1102" s="44"/>
      <c r="I1102" s="44"/>
      <c r="J1102" s="44"/>
      <c r="K1102" s="44"/>
      <c r="L1102" s="44"/>
      <c r="M1102" s="44"/>
      <c r="N1102" s="37"/>
      <c r="O1102" s="38"/>
      <c r="P1102" s="34"/>
      <c r="Q1102" s="39"/>
      <c r="R1102" s="84"/>
      <c r="S1102" s="47"/>
      <c r="T1102" s="42"/>
      <c r="U1102" s="147"/>
      <c r="W1102" s="96"/>
      <c r="X1102" s="223"/>
      <c r="Y1102" s="98"/>
      <c r="Z1102" s="97"/>
      <c r="AA1102" s="99"/>
    </row>
    <row r="1103" spans="1:27" s="95" customFormat="1">
      <c r="A1103" s="34"/>
      <c r="B1103" s="76"/>
      <c r="C1103" s="76"/>
      <c r="D1103" s="188"/>
      <c r="E1103" s="44"/>
      <c r="F1103" s="44"/>
      <c r="G1103" s="44"/>
      <c r="H1103" s="44"/>
      <c r="I1103" s="44"/>
      <c r="J1103" s="44"/>
      <c r="K1103" s="44"/>
      <c r="L1103" s="44"/>
      <c r="M1103" s="44"/>
      <c r="N1103" s="37"/>
      <c r="O1103" s="38"/>
      <c r="P1103" s="34"/>
      <c r="Q1103" s="39"/>
      <c r="R1103" s="84"/>
      <c r="S1103" s="47"/>
      <c r="T1103" s="42"/>
      <c r="U1103" s="147"/>
      <c r="W1103" s="96"/>
      <c r="X1103" s="223"/>
      <c r="Y1103" s="98"/>
      <c r="Z1103" s="97"/>
      <c r="AA1103" s="99"/>
    </row>
    <row r="1104" spans="1:27" s="95" customFormat="1">
      <c r="A1104" s="34"/>
      <c r="B1104" s="76"/>
      <c r="C1104" s="76"/>
      <c r="D1104" s="188"/>
      <c r="E1104" s="44"/>
      <c r="F1104" s="44"/>
      <c r="G1104" s="44"/>
      <c r="H1104" s="44"/>
      <c r="I1104" s="44"/>
      <c r="J1104" s="44"/>
      <c r="K1104" s="44"/>
      <c r="L1104" s="44"/>
      <c r="M1104" s="44"/>
      <c r="N1104" s="37"/>
      <c r="O1104" s="38"/>
      <c r="P1104" s="34"/>
      <c r="Q1104" s="39"/>
      <c r="R1104" s="84"/>
      <c r="S1104" s="47"/>
      <c r="T1104" s="42"/>
      <c r="U1104" s="147"/>
      <c r="W1104" s="96"/>
      <c r="X1104" s="223"/>
      <c r="Y1104" s="98"/>
      <c r="Z1104" s="97"/>
      <c r="AA1104" s="99"/>
    </row>
    <row r="1105" spans="1:27" s="95" customFormat="1">
      <c r="A1105" s="34"/>
      <c r="B1105" s="76"/>
      <c r="C1105" s="76"/>
      <c r="D1105" s="188"/>
      <c r="E1105" s="44"/>
      <c r="F1105" s="44"/>
      <c r="G1105" s="44"/>
      <c r="H1105" s="44"/>
      <c r="I1105" s="44"/>
      <c r="J1105" s="44"/>
      <c r="K1105" s="44"/>
      <c r="L1105" s="44"/>
      <c r="M1105" s="44"/>
      <c r="N1105" s="37"/>
      <c r="O1105" s="38"/>
      <c r="P1105" s="34"/>
      <c r="Q1105" s="39"/>
      <c r="R1105" s="84"/>
      <c r="S1105" s="47"/>
      <c r="T1105" s="42"/>
      <c r="U1105" s="147"/>
      <c r="W1105" s="96"/>
      <c r="X1105" s="223"/>
      <c r="Y1105" s="98"/>
      <c r="Z1105" s="97"/>
      <c r="AA1105" s="99"/>
    </row>
    <row r="1106" spans="1:27" s="95" customFormat="1">
      <c r="A1106" s="34"/>
      <c r="B1106" s="76"/>
      <c r="C1106" s="76"/>
      <c r="D1106" s="188"/>
      <c r="E1106" s="44"/>
      <c r="F1106" s="44"/>
      <c r="G1106" s="44"/>
      <c r="H1106" s="44"/>
      <c r="I1106" s="44"/>
      <c r="J1106" s="44"/>
      <c r="K1106" s="44"/>
      <c r="L1106" s="44"/>
      <c r="M1106" s="44"/>
      <c r="N1106" s="37"/>
      <c r="O1106" s="38"/>
      <c r="P1106" s="34"/>
      <c r="Q1106" s="39"/>
      <c r="R1106" s="84"/>
      <c r="S1106" s="47"/>
      <c r="T1106" s="42"/>
      <c r="U1106" s="147"/>
      <c r="W1106" s="96"/>
      <c r="X1106" s="223"/>
      <c r="Y1106" s="98"/>
      <c r="Z1106" s="97"/>
      <c r="AA1106" s="99"/>
    </row>
    <row r="1107" spans="1:27" s="95" customFormat="1">
      <c r="A1107" s="34"/>
      <c r="B1107" s="76"/>
      <c r="C1107" s="76"/>
      <c r="D1107" s="188"/>
      <c r="E1107" s="44"/>
      <c r="F1107" s="44"/>
      <c r="G1107" s="44"/>
      <c r="H1107" s="44"/>
      <c r="I1107" s="44"/>
      <c r="J1107" s="44"/>
      <c r="K1107" s="44"/>
      <c r="L1107" s="44"/>
      <c r="M1107" s="44"/>
      <c r="N1107" s="37"/>
      <c r="O1107" s="38"/>
      <c r="P1107" s="34"/>
      <c r="Q1107" s="39"/>
      <c r="R1107" s="84"/>
      <c r="S1107" s="47"/>
      <c r="T1107" s="42"/>
      <c r="U1107" s="147"/>
      <c r="W1107" s="96"/>
      <c r="X1107" s="223"/>
      <c r="Y1107" s="98"/>
      <c r="Z1107" s="97"/>
      <c r="AA1107" s="99"/>
    </row>
    <row r="1108" spans="1:27" s="95" customFormat="1">
      <c r="A1108" s="34"/>
      <c r="B1108" s="76"/>
      <c r="C1108" s="76"/>
      <c r="D1108" s="188"/>
      <c r="E1108" s="44"/>
      <c r="F1108" s="44"/>
      <c r="G1108" s="44"/>
      <c r="H1108" s="44"/>
      <c r="I1108" s="44"/>
      <c r="J1108" s="44"/>
      <c r="K1108" s="44"/>
      <c r="L1108" s="44"/>
      <c r="M1108" s="44"/>
      <c r="N1108" s="37"/>
      <c r="O1108" s="38"/>
      <c r="P1108" s="34"/>
      <c r="Q1108" s="39"/>
      <c r="R1108" s="84"/>
      <c r="S1108" s="47"/>
      <c r="T1108" s="42"/>
      <c r="U1108" s="147"/>
      <c r="W1108" s="96"/>
      <c r="X1108" s="223"/>
      <c r="Y1108" s="98"/>
      <c r="Z1108" s="97"/>
      <c r="AA1108" s="99"/>
    </row>
    <row r="1109" spans="1:27" s="95" customFormat="1">
      <c r="A1109" s="34"/>
      <c r="B1109" s="76"/>
      <c r="C1109" s="76"/>
      <c r="D1109" s="188"/>
      <c r="E1109" s="44"/>
      <c r="F1109" s="44"/>
      <c r="G1109" s="44"/>
      <c r="H1109" s="44"/>
      <c r="I1109" s="44"/>
      <c r="J1109" s="44"/>
      <c r="K1109" s="44"/>
      <c r="L1109" s="44"/>
      <c r="M1109" s="44"/>
      <c r="N1109" s="37"/>
      <c r="O1109" s="38"/>
      <c r="P1109" s="34"/>
      <c r="Q1109" s="39"/>
      <c r="R1109" s="84"/>
      <c r="S1109" s="47"/>
      <c r="T1109" s="42"/>
      <c r="U1109" s="147"/>
      <c r="W1109" s="96"/>
      <c r="X1109" s="223"/>
      <c r="Y1109" s="98"/>
      <c r="Z1109" s="97"/>
      <c r="AA1109" s="99"/>
    </row>
    <row r="1110" spans="1:27" s="95" customFormat="1">
      <c r="A1110" s="34"/>
      <c r="B1110" s="76"/>
      <c r="C1110" s="76"/>
      <c r="D1110" s="188"/>
      <c r="E1110" s="44"/>
      <c r="F1110" s="44"/>
      <c r="G1110" s="44"/>
      <c r="H1110" s="44"/>
      <c r="I1110" s="44"/>
      <c r="J1110" s="44"/>
      <c r="K1110" s="44"/>
      <c r="L1110" s="44"/>
      <c r="M1110" s="44"/>
      <c r="N1110" s="37"/>
      <c r="O1110" s="38"/>
      <c r="P1110" s="34"/>
      <c r="Q1110" s="39"/>
      <c r="R1110" s="84"/>
      <c r="S1110" s="47"/>
      <c r="T1110" s="42"/>
      <c r="U1110" s="147"/>
      <c r="W1110" s="96"/>
      <c r="X1110" s="223"/>
      <c r="Y1110" s="98"/>
      <c r="Z1110" s="97"/>
      <c r="AA1110" s="99"/>
    </row>
    <row r="1111" spans="1:27" s="95" customFormat="1">
      <c r="A1111" s="34"/>
      <c r="B1111" s="76"/>
      <c r="C1111" s="76"/>
      <c r="D1111" s="188"/>
      <c r="E1111" s="44"/>
      <c r="F1111" s="44"/>
      <c r="G1111" s="44"/>
      <c r="H1111" s="44"/>
      <c r="I1111" s="44"/>
      <c r="J1111" s="44"/>
      <c r="K1111" s="44"/>
      <c r="L1111" s="44"/>
      <c r="M1111" s="44"/>
      <c r="N1111" s="37"/>
      <c r="O1111" s="38"/>
      <c r="P1111" s="34"/>
      <c r="Q1111" s="39"/>
      <c r="R1111" s="84"/>
      <c r="S1111" s="47"/>
      <c r="T1111" s="42"/>
      <c r="U1111" s="147"/>
      <c r="W1111" s="96"/>
      <c r="X1111" s="223"/>
      <c r="Y1111" s="98"/>
      <c r="Z1111" s="97"/>
      <c r="AA1111" s="99"/>
    </row>
    <row r="1112" spans="1:27" s="95" customFormat="1">
      <c r="A1112" s="34"/>
      <c r="B1112" s="76"/>
      <c r="C1112" s="76"/>
      <c r="D1112" s="188"/>
      <c r="E1112" s="44"/>
      <c r="F1112" s="44"/>
      <c r="G1112" s="44"/>
      <c r="H1112" s="44"/>
      <c r="I1112" s="44"/>
      <c r="J1112" s="44"/>
      <c r="K1112" s="44"/>
      <c r="L1112" s="44"/>
      <c r="M1112" s="44"/>
      <c r="N1112" s="37"/>
      <c r="O1112" s="38"/>
      <c r="P1112" s="34"/>
      <c r="Q1112" s="39"/>
      <c r="R1112" s="84"/>
      <c r="S1112" s="47"/>
      <c r="T1112" s="42"/>
      <c r="U1112" s="147"/>
      <c r="W1112" s="96"/>
      <c r="X1112" s="223"/>
      <c r="Y1112" s="98"/>
      <c r="Z1112" s="97"/>
      <c r="AA1112" s="99"/>
    </row>
    <row r="1113" spans="1:27" s="95" customFormat="1">
      <c r="A1113" s="34"/>
      <c r="B1113" s="76"/>
      <c r="C1113" s="76"/>
      <c r="D1113" s="188"/>
      <c r="E1113" s="44"/>
      <c r="F1113" s="44"/>
      <c r="G1113" s="44"/>
      <c r="H1113" s="44"/>
      <c r="I1113" s="44"/>
      <c r="J1113" s="44"/>
      <c r="K1113" s="44"/>
      <c r="L1113" s="44"/>
      <c r="M1113" s="44"/>
      <c r="N1113" s="37"/>
      <c r="O1113" s="38"/>
      <c r="P1113" s="34"/>
      <c r="Q1113" s="39"/>
      <c r="R1113" s="84"/>
      <c r="S1113" s="47"/>
      <c r="T1113" s="42"/>
      <c r="U1113" s="147"/>
      <c r="W1113" s="96"/>
      <c r="X1113" s="223"/>
      <c r="Y1113" s="98"/>
      <c r="Z1113" s="97"/>
      <c r="AA1113" s="99"/>
    </row>
    <row r="1114" spans="1:27" s="95" customFormat="1">
      <c r="A1114" s="34"/>
      <c r="B1114" s="76"/>
      <c r="C1114" s="76"/>
      <c r="D1114" s="188"/>
      <c r="E1114" s="44"/>
      <c r="F1114" s="44"/>
      <c r="G1114" s="44"/>
      <c r="H1114" s="44"/>
      <c r="I1114" s="44"/>
      <c r="J1114" s="44"/>
      <c r="K1114" s="44"/>
      <c r="L1114" s="44"/>
      <c r="M1114" s="44"/>
      <c r="N1114" s="37"/>
      <c r="O1114" s="38"/>
      <c r="P1114" s="34"/>
      <c r="Q1114" s="39"/>
      <c r="R1114" s="84"/>
      <c r="S1114" s="47"/>
      <c r="T1114" s="42"/>
      <c r="U1114" s="147"/>
      <c r="W1114" s="96"/>
      <c r="X1114" s="223"/>
      <c r="Y1114" s="98"/>
      <c r="Z1114" s="97"/>
      <c r="AA1114" s="99"/>
    </row>
    <row r="1115" spans="1:27" s="95" customFormat="1">
      <c r="A1115" s="34"/>
      <c r="B1115" s="76"/>
      <c r="C1115" s="76"/>
      <c r="D1115" s="188"/>
      <c r="E1115" s="44"/>
      <c r="F1115" s="44"/>
      <c r="G1115" s="44"/>
      <c r="H1115" s="44"/>
      <c r="I1115" s="44"/>
      <c r="J1115" s="44"/>
      <c r="K1115" s="44"/>
      <c r="L1115" s="44"/>
      <c r="M1115" s="44"/>
      <c r="N1115" s="37"/>
      <c r="O1115" s="38"/>
      <c r="P1115" s="34"/>
      <c r="Q1115" s="39"/>
      <c r="R1115" s="84"/>
      <c r="S1115" s="47"/>
      <c r="T1115" s="42"/>
      <c r="U1115" s="147"/>
      <c r="W1115" s="96"/>
      <c r="X1115" s="223"/>
      <c r="Y1115" s="98"/>
      <c r="Z1115" s="97"/>
      <c r="AA1115" s="99"/>
    </row>
    <row r="1116" spans="1:27" s="95" customFormat="1">
      <c r="A1116" s="34"/>
      <c r="B1116" s="76"/>
      <c r="C1116" s="76"/>
      <c r="D1116" s="188"/>
      <c r="E1116" s="44"/>
      <c r="F1116" s="44"/>
      <c r="G1116" s="44"/>
      <c r="H1116" s="44"/>
      <c r="I1116" s="44"/>
      <c r="J1116" s="44"/>
      <c r="K1116" s="44"/>
      <c r="L1116" s="44"/>
      <c r="M1116" s="44"/>
      <c r="N1116" s="37"/>
      <c r="O1116" s="38"/>
      <c r="P1116" s="34"/>
      <c r="Q1116" s="39"/>
      <c r="R1116" s="84"/>
      <c r="S1116" s="47"/>
      <c r="T1116" s="42"/>
      <c r="U1116" s="147"/>
      <c r="W1116" s="96"/>
      <c r="X1116" s="223"/>
      <c r="Y1116" s="98"/>
      <c r="Z1116" s="97"/>
      <c r="AA1116" s="99"/>
    </row>
    <row r="1117" spans="1:27" s="95" customFormat="1">
      <c r="A1117" s="34"/>
      <c r="B1117" s="76"/>
      <c r="C1117" s="76"/>
      <c r="D1117" s="188"/>
      <c r="E1117" s="44"/>
      <c r="F1117" s="44"/>
      <c r="G1117" s="44"/>
      <c r="H1117" s="44"/>
      <c r="I1117" s="44"/>
      <c r="J1117" s="44"/>
      <c r="K1117" s="44"/>
      <c r="L1117" s="44"/>
      <c r="M1117" s="44"/>
      <c r="N1117" s="37"/>
      <c r="O1117" s="38"/>
      <c r="P1117" s="34"/>
      <c r="Q1117" s="39"/>
      <c r="R1117" s="84"/>
      <c r="S1117" s="47"/>
      <c r="T1117" s="42"/>
      <c r="U1117" s="147"/>
      <c r="W1117" s="96"/>
      <c r="X1117" s="223"/>
      <c r="Y1117" s="98"/>
      <c r="Z1117" s="97"/>
      <c r="AA1117" s="99"/>
    </row>
    <row r="1118" spans="1:27" s="95" customFormat="1">
      <c r="A1118" s="34"/>
      <c r="B1118" s="76"/>
      <c r="C1118" s="76"/>
      <c r="D1118" s="188"/>
      <c r="E1118" s="44"/>
      <c r="F1118" s="44"/>
      <c r="G1118" s="44"/>
      <c r="H1118" s="44"/>
      <c r="I1118" s="44"/>
      <c r="J1118" s="44"/>
      <c r="K1118" s="44"/>
      <c r="L1118" s="44"/>
      <c r="M1118" s="44"/>
      <c r="N1118" s="37"/>
      <c r="O1118" s="38"/>
      <c r="P1118" s="34"/>
      <c r="Q1118" s="34"/>
      <c r="R1118" s="76"/>
      <c r="S1118" s="47"/>
      <c r="T1118" s="42"/>
      <c r="U1118" s="147"/>
      <c r="W1118" s="96"/>
      <c r="X1118" s="223"/>
      <c r="Y1118" s="98"/>
      <c r="Z1118" s="97"/>
      <c r="AA1118" s="99"/>
    </row>
    <row r="1119" spans="1:27" s="95" customFormat="1">
      <c r="A1119" s="34"/>
      <c r="B1119" s="76"/>
      <c r="C1119" s="76"/>
      <c r="D1119" s="188"/>
      <c r="E1119" s="44"/>
      <c r="F1119" s="44"/>
      <c r="G1119" s="44"/>
      <c r="H1119" s="44"/>
      <c r="I1119" s="44"/>
      <c r="J1119" s="44"/>
      <c r="K1119" s="44"/>
      <c r="L1119" s="44"/>
      <c r="M1119" s="44"/>
      <c r="N1119" s="37"/>
      <c r="O1119" s="38"/>
      <c r="P1119" s="34"/>
      <c r="Q1119" s="34"/>
      <c r="R1119" s="76"/>
      <c r="S1119" s="47"/>
      <c r="T1119" s="42"/>
      <c r="U1119" s="147"/>
      <c r="W1119" s="96"/>
      <c r="X1119" s="223"/>
      <c r="Y1119" s="98"/>
      <c r="Z1119" s="97"/>
      <c r="AA1119" s="99"/>
    </row>
    <row r="1120" spans="1:27" s="95" customFormat="1">
      <c r="A1120" s="34"/>
      <c r="B1120" s="76"/>
      <c r="C1120" s="76"/>
      <c r="D1120" s="188"/>
      <c r="E1120" s="44"/>
      <c r="F1120" s="44"/>
      <c r="G1120" s="44"/>
      <c r="H1120" s="44"/>
      <c r="I1120" s="44"/>
      <c r="J1120" s="44"/>
      <c r="K1120" s="44"/>
      <c r="L1120" s="44"/>
      <c r="M1120" s="44"/>
      <c r="N1120" s="37"/>
      <c r="O1120" s="38"/>
      <c r="P1120" s="34"/>
      <c r="Q1120" s="34"/>
      <c r="R1120" s="76"/>
      <c r="S1120" s="47"/>
      <c r="T1120" s="42"/>
      <c r="U1120" s="147"/>
      <c r="W1120" s="96"/>
      <c r="X1120" s="223"/>
      <c r="Y1120" s="98"/>
      <c r="Z1120" s="97"/>
      <c r="AA1120" s="99"/>
    </row>
    <row r="1121" spans="1:27" s="95" customFormat="1">
      <c r="A1121" s="34"/>
      <c r="B1121" s="76"/>
      <c r="C1121" s="76"/>
      <c r="D1121" s="188"/>
      <c r="E1121" s="44"/>
      <c r="F1121" s="44"/>
      <c r="G1121" s="44"/>
      <c r="H1121" s="44"/>
      <c r="I1121" s="44"/>
      <c r="J1121" s="44"/>
      <c r="K1121" s="44"/>
      <c r="L1121" s="44"/>
      <c r="M1121" s="44"/>
      <c r="N1121" s="37"/>
      <c r="O1121" s="38"/>
      <c r="P1121" s="34"/>
      <c r="Q1121" s="34"/>
      <c r="R1121" s="76"/>
      <c r="S1121" s="47"/>
      <c r="T1121" s="42"/>
      <c r="U1121" s="147"/>
      <c r="W1121" s="96"/>
      <c r="X1121" s="223"/>
      <c r="Y1121" s="98"/>
      <c r="Z1121" s="97"/>
      <c r="AA1121" s="99"/>
    </row>
    <row r="1122" spans="1:27" s="95" customFormat="1">
      <c r="A1122" s="34"/>
      <c r="B1122" s="76"/>
      <c r="C1122" s="76"/>
      <c r="D1122" s="188"/>
      <c r="E1122" s="44"/>
      <c r="F1122" s="44"/>
      <c r="G1122" s="44"/>
      <c r="H1122" s="44"/>
      <c r="I1122" s="44"/>
      <c r="J1122" s="44"/>
      <c r="K1122" s="44"/>
      <c r="L1122" s="44"/>
      <c r="M1122" s="44"/>
      <c r="N1122" s="37"/>
      <c r="O1122" s="38"/>
      <c r="P1122" s="34"/>
      <c r="Q1122" s="34"/>
      <c r="R1122" s="76"/>
      <c r="S1122" s="47"/>
      <c r="T1122" s="42"/>
      <c r="U1122" s="147"/>
      <c r="W1122" s="96"/>
      <c r="X1122" s="223"/>
      <c r="Y1122" s="98"/>
      <c r="Z1122" s="97"/>
      <c r="AA1122" s="99"/>
    </row>
    <row r="1123" spans="1:27" s="95" customFormat="1">
      <c r="A1123" s="34"/>
      <c r="B1123" s="76"/>
      <c r="C1123" s="76"/>
      <c r="D1123" s="188"/>
      <c r="E1123" s="44"/>
      <c r="F1123" s="44"/>
      <c r="G1123" s="44"/>
      <c r="H1123" s="44"/>
      <c r="I1123" s="44"/>
      <c r="J1123" s="44"/>
      <c r="K1123" s="44"/>
      <c r="L1123" s="44"/>
      <c r="M1123" s="44"/>
      <c r="N1123" s="37"/>
      <c r="O1123" s="38"/>
      <c r="P1123" s="34"/>
      <c r="Q1123" s="34"/>
      <c r="R1123" s="76"/>
      <c r="S1123" s="47"/>
      <c r="T1123" s="42"/>
      <c r="U1123" s="147"/>
      <c r="W1123" s="96"/>
      <c r="X1123" s="223"/>
      <c r="Y1123" s="98"/>
      <c r="Z1123" s="97"/>
      <c r="AA1123" s="99"/>
    </row>
    <row r="1124" spans="1:27" s="95" customFormat="1">
      <c r="A1124" s="34"/>
      <c r="B1124" s="76"/>
      <c r="C1124" s="76"/>
      <c r="D1124" s="188"/>
      <c r="E1124" s="44"/>
      <c r="F1124" s="44"/>
      <c r="G1124" s="44"/>
      <c r="H1124" s="44"/>
      <c r="I1124" s="44"/>
      <c r="J1124" s="44"/>
      <c r="K1124" s="44"/>
      <c r="L1124" s="44"/>
      <c r="M1124" s="44"/>
      <c r="N1124" s="37"/>
      <c r="O1124" s="38"/>
      <c r="P1124" s="34"/>
      <c r="Q1124" s="34"/>
      <c r="R1124" s="76"/>
      <c r="S1124" s="47"/>
      <c r="T1124" s="42"/>
      <c r="U1124" s="147"/>
      <c r="W1124" s="96"/>
      <c r="X1124" s="223"/>
      <c r="Y1124" s="98"/>
      <c r="Z1124" s="97"/>
      <c r="AA1124" s="99"/>
    </row>
    <row r="1125" spans="1:27" s="95" customFormat="1">
      <c r="A1125" s="34"/>
      <c r="B1125" s="76"/>
      <c r="C1125" s="76"/>
      <c r="D1125" s="188"/>
      <c r="E1125" s="44"/>
      <c r="F1125" s="44"/>
      <c r="G1125" s="44"/>
      <c r="H1125" s="44"/>
      <c r="I1125" s="44"/>
      <c r="J1125" s="44"/>
      <c r="K1125" s="44"/>
      <c r="L1125" s="44"/>
      <c r="M1125" s="44"/>
      <c r="N1125" s="37"/>
      <c r="O1125" s="38"/>
      <c r="P1125" s="34"/>
      <c r="Q1125" s="34"/>
      <c r="R1125" s="76"/>
      <c r="S1125" s="47"/>
      <c r="T1125" s="42"/>
      <c r="U1125" s="147"/>
      <c r="W1125" s="96"/>
      <c r="X1125" s="223"/>
      <c r="Y1125" s="98"/>
      <c r="Z1125" s="97"/>
      <c r="AA1125" s="99"/>
    </row>
    <row r="1126" spans="1:27" s="95" customFormat="1">
      <c r="A1126" s="34"/>
      <c r="B1126" s="76"/>
      <c r="C1126" s="76"/>
      <c r="D1126" s="188"/>
      <c r="E1126" s="44"/>
      <c r="F1126" s="44"/>
      <c r="G1126" s="44"/>
      <c r="H1126" s="44"/>
      <c r="I1126" s="44"/>
      <c r="J1126" s="44"/>
      <c r="K1126" s="44"/>
      <c r="L1126" s="44"/>
      <c r="M1126" s="44"/>
      <c r="N1126" s="37"/>
      <c r="O1126" s="38"/>
      <c r="P1126" s="34"/>
      <c r="Q1126" s="34"/>
      <c r="R1126" s="76"/>
      <c r="S1126" s="47"/>
      <c r="T1126" s="42"/>
      <c r="U1126" s="147"/>
      <c r="W1126" s="96"/>
      <c r="X1126" s="223"/>
      <c r="Y1126" s="98"/>
      <c r="Z1126" s="97"/>
      <c r="AA1126" s="99"/>
    </row>
    <row r="1127" spans="1:27" s="95" customFormat="1">
      <c r="A1127" s="34"/>
      <c r="B1127" s="76"/>
      <c r="C1127" s="76"/>
      <c r="D1127" s="188"/>
      <c r="E1127" s="44"/>
      <c r="F1127" s="44"/>
      <c r="G1127" s="44"/>
      <c r="H1127" s="44"/>
      <c r="I1127" s="44"/>
      <c r="J1127" s="44"/>
      <c r="K1127" s="44"/>
      <c r="L1127" s="44"/>
      <c r="M1127" s="44"/>
      <c r="N1127" s="37"/>
      <c r="O1127" s="38"/>
      <c r="P1127" s="34"/>
      <c r="Q1127" s="34"/>
      <c r="R1127" s="76"/>
      <c r="S1127" s="47"/>
      <c r="T1127" s="42"/>
      <c r="U1127" s="147"/>
      <c r="W1127" s="96"/>
      <c r="X1127" s="223"/>
      <c r="Y1127" s="98"/>
      <c r="Z1127" s="97"/>
      <c r="AA1127" s="99"/>
    </row>
    <row r="1128" spans="1:27" s="95" customFormat="1">
      <c r="A1128" s="34"/>
      <c r="B1128" s="76"/>
      <c r="C1128" s="76"/>
      <c r="D1128" s="188"/>
      <c r="E1128" s="44"/>
      <c r="F1128" s="44"/>
      <c r="G1128" s="44"/>
      <c r="H1128" s="44"/>
      <c r="I1128" s="44"/>
      <c r="J1128" s="44"/>
      <c r="K1128" s="44"/>
      <c r="L1128" s="44"/>
      <c r="M1128" s="44"/>
      <c r="N1128" s="37"/>
      <c r="O1128" s="38"/>
      <c r="P1128" s="34"/>
      <c r="Q1128" s="34"/>
      <c r="R1128" s="76"/>
      <c r="S1128" s="47"/>
      <c r="T1128" s="42"/>
      <c r="U1128" s="147"/>
      <c r="W1128" s="96"/>
      <c r="X1128" s="223"/>
      <c r="Y1128" s="98"/>
      <c r="Z1128" s="97"/>
      <c r="AA1128" s="99"/>
    </row>
    <row r="1129" spans="1:27" s="95" customFormat="1">
      <c r="A1129" s="34"/>
      <c r="B1129" s="76"/>
      <c r="C1129" s="76"/>
      <c r="D1129" s="188"/>
      <c r="E1129" s="44"/>
      <c r="F1129" s="44"/>
      <c r="G1129" s="44"/>
      <c r="H1129" s="44"/>
      <c r="I1129" s="44"/>
      <c r="J1129" s="44"/>
      <c r="K1129" s="44"/>
      <c r="L1129" s="44"/>
      <c r="M1129" s="44"/>
      <c r="N1129" s="37"/>
      <c r="O1129" s="38"/>
      <c r="P1129" s="34"/>
      <c r="Q1129" s="34"/>
      <c r="R1129" s="76"/>
      <c r="S1129" s="47"/>
      <c r="T1129" s="42"/>
      <c r="U1129" s="147"/>
      <c r="W1129" s="96"/>
      <c r="X1129" s="223"/>
      <c r="Y1129" s="98"/>
      <c r="Z1129" s="97"/>
      <c r="AA1129" s="99"/>
    </row>
    <row r="1130" spans="1:27" s="95" customFormat="1">
      <c r="A1130" s="34"/>
      <c r="B1130" s="76"/>
      <c r="C1130" s="76"/>
      <c r="D1130" s="188"/>
      <c r="E1130" s="44"/>
      <c r="F1130" s="44"/>
      <c r="G1130" s="44"/>
      <c r="H1130" s="44"/>
      <c r="I1130" s="44"/>
      <c r="J1130" s="44"/>
      <c r="K1130" s="44"/>
      <c r="L1130" s="44"/>
      <c r="M1130" s="44"/>
      <c r="N1130" s="37"/>
      <c r="O1130" s="38"/>
      <c r="P1130" s="34"/>
      <c r="Q1130" s="34"/>
      <c r="R1130" s="76"/>
      <c r="S1130" s="47"/>
      <c r="T1130" s="42"/>
      <c r="U1130" s="147"/>
      <c r="W1130" s="96"/>
      <c r="X1130" s="223"/>
      <c r="Y1130" s="98"/>
      <c r="Z1130" s="97"/>
      <c r="AA1130" s="99"/>
    </row>
    <row r="1131" spans="1:27" s="95" customFormat="1">
      <c r="A1131" s="34"/>
      <c r="B1131" s="76"/>
      <c r="C1131" s="76"/>
      <c r="D1131" s="188"/>
      <c r="E1131" s="44"/>
      <c r="F1131" s="44"/>
      <c r="G1131" s="44"/>
      <c r="H1131" s="44"/>
      <c r="I1131" s="44"/>
      <c r="J1131" s="44"/>
      <c r="K1131" s="44"/>
      <c r="L1131" s="44"/>
      <c r="M1131" s="44"/>
      <c r="N1131" s="37"/>
      <c r="O1131" s="38"/>
      <c r="P1131" s="34"/>
      <c r="Q1131" s="34"/>
      <c r="R1131" s="76"/>
      <c r="S1131" s="47"/>
      <c r="T1131" s="42"/>
      <c r="U1131" s="147"/>
      <c r="W1131" s="96"/>
      <c r="X1131" s="223"/>
      <c r="Y1131" s="98"/>
      <c r="Z1131" s="97"/>
      <c r="AA1131" s="99"/>
    </row>
    <row r="1132" spans="1:27" s="95" customFormat="1">
      <c r="A1132" s="34"/>
      <c r="B1132" s="76"/>
      <c r="C1132" s="76"/>
      <c r="D1132" s="188"/>
      <c r="E1132" s="44"/>
      <c r="F1132" s="44"/>
      <c r="G1132" s="44"/>
      <c r="H1132" s="44"/>
      <c r="I1132" s="44"/>
      <c r="J1132" s="44"/>
      <c r="K1132" s="44"/>
      <c r="L1132" s="44"/>
      <c r="M1132" s="44"/>
      <c r="N1132" s="37"/>
      <c r="O1132" s="38"/>
      <c r="P1132" s="34"/>
      <c r="Q1132" s="34"/>
      <c r="R1132" s="76"/>
      <c r="S1132" s="48"/>
      <c r="T1132" s="41"/>
      <c r="U1132" s="52"/>
      <c r="W1132" s="96"/>
      <c r="X1132" s="223"/>
      <c r="Y1132" s="98"/>
      <c r="Z1132" s="97"/>
      <c r="AA1132" s="99"/>
    </row>
    <row r="1133" spans="1:27" s="95" customFormat="1">
      <c r="A1133" s="34"/>
      <c r="B1133" s="76"/>
      <c r="C1133" s="76"/>
      <c r="D1133" s="188"/>
      <c r="E1133" s="44"/>
      <c r="F1133" s="44"/>
      <c r="G1133" s="44"/>
      <c r="H1133" s="44"/>
      <c r="I1133" s="44"/>
      <c r="J1133" s="44"/>
      <c r="K1133" s="44"/>
      <c r="L1133" s="44"/>
      <c r="M1133" s="44"/>
      <c r="N1133" s="37"/>
      <c r="O1133" s="38"/>
      <c r="P1133" s="34"/>
      <c r="Q1133" s="34"/>
      <c r="R1133" s="76"/>
      <c r="S1133" s="48"/>
      <c r="T1133" s="41"/>
      <c r="U1133" s="52"/>
      <c r="W1133" s="96"/>
      <c r="X1133" s="223"/>
      <c r="Y1133" s="98"/>
      <c r="Z1133" s="97"/>
      <c r="AA1133" s="99"/>
    </row>
    <row r="1134" spans="1:27" s="95" customFormat="1">
      <c r="A1134" s="34"/>
      <c r="B1134" s="76"/>
      <c r="C1134" s="76"/>
      <c r="D1134" s="188"/>
      <c r="E1134" s="44"/>
      <c r="F1134" s="44"/>
      <c r="G1134" s="44"/>
      <c r="H1134" s="44"/>
      <c r="I1134" s="44"/>
      <c r="J1134" s="44"/>
      <c r="K1134" s="44"/>
      <c r="L1134" s="44"/>
      <c r="M1134" s="44"/>
      <c r="N1134" s="53"/>
      <c r="O1134" s="54"/>
      <c r="P1134" s="12"/>
      <c r="Q1134" s="34"/>
      <c r="R1134" s="76"/>
      <c r="S1134" s="48"/>
      <c r="T1134" s="41"/>
      <c r="U1134" s="52"/>
      <c r="W1134" s="96"/>
      <c r="X1134" s="223"/>
      <c r="Y1134" s="98"/>
      <c r="Z1134" s="97"/>
      <c r="AA1134" s="99"/>
    </row>
    <row r="1135" spans="1:27" s="95" customFormat="1">
      <c r="A1135" s="34"/>
      <c r="B1135" s="76"/>
      <c r="C1135" s="76"/>
      <c r="D1135" s="188"/>
      <c r="E1135" s="44"/>
      <c r="F1135" s="44"/>
      <c r="G1135" s="44"/>
      <c r="H1135" s="44"/>
      <c r="I1135" s="44"/>
      <c r="J1135" s="44"/>
      <c r="K1135" s="44"/>
      <c r="L1135" s="44"/>
      <c r="M1135" s="44"/>
      <c r="N1135" s="53"/>
      <c r="O1135" s="54"/>
      <c r="P1135" s="12"/>
      <c r="Q1135" s="34"/>
      <c r="R1135" s="76"/>
      <c r="S1135" s="48"/>
      <c r="T1135" s="41"/>
      <c r="U1135" s="52"/>
      <c r="W1135" s="96"/>
      <c r="X1135" s="223"/>
      <c r="Y1135" s="98"/>
      <c r="Z1135" s="97"/>
      <c r="AA1135" s="99"/>
    </row>
    <row r="1136" spans="1:27" s="95" customFormat="1">
      <c r="A1136" s="34"/>
      <c r="B1136" s="76"/>
      <c r="C1136" s="76"/>
      <c r="D1136" s="188"/>
      <c r="E1136" s="44"/>
      <c r="F1136" s="44"/>
      <c r="G1136" s="44"/>
      <c r="H1136" s="44"/>
      <c r="I1136" s="44"/>
      <c r="J1136" s="44"/>
      <c r="K1136" s="44"/>
      <c r="L1136" s="44"/>
      <c r="M1136" s="44"/>
      <c r="N1136" s="53"/>
      <c r="O1136" s="54"/>
      <c r="P1136" s="12"/>
      <c r="Q1136" s="34"/>
      <c r="R1136" s="76"/>
      <c r="S1136" s="48"/>
      <c r="T1136" s="41"/>
      <c r="U1136" s="52"/>
      <c r="W1136" s="96"/>
      <c r="X1136" s="223"/>
      <c r="Y1136" s="98"/>
      <c r="Z1136" s="97"/>
      <c r="AA1136" s="99"/>
    </row>
    <row r="1137" spans="1:27" s="95" customFormat="1">
      <c r="A1137" s="34"/>
      <c r="B1137" s="76"/>
      <c r="C1137" s="76"/>
      <c r="D1137" s="188"/>
      <c r="E1137" s="44"/>
      <c r="F1137" s="44"/>
      <c r="G1137" s="44"/>
      <c r="H1137" s="44"/>
      <c r="I1137" s="44"/>
      <c r="J1137" s="44"/>
      <c r="K1137" s="44"/>
      <c r="L1137" s="44"/>
      <c r="M1137" s="44"/>
      <c r="N1137" s="53"/>
      <c r="O1137" s="54"/>
      <c r="P1137" s="12"/>
      <c r="Q1137" s="39"/>
      <c r="R1137" s="84"/>
      <c r="S1137" s="48"/>
      <c r="T1137" s="41"/>
      <c r="U1137" s="52"/>
      <c r="W1137" s="96"/>
      <c r="X1137" s="223"/>
      <c r="Y1137" s="98"/>
      <c r="Z1137" s="97"/>
      <c r="AA1137" s="99"/>
    </row>
    <row r="1138" spans="1:27" s="95" customFormat="1">
      <c r="A1138" s="34"/>
      <c r="B1138" s="76"/>
      <c r="C1138" s="76"/>
      <c r="D1138" s="188"/>
      <c r="E1138" s="44"/>
      <c r="F1138" s="44"/>
      <c r="G1138" s="44"/>
      <c r="H1138" s="44"/>
      <c r="I1138" s="44"/>
      <c r="J1138" s="44"/>
      <c r="K1138" s="44"/>
      <c r="L1138" s="44"/>
      <c r="M1138" s="44"/>
      <c r="N1138" s="53"/>
      <c r="O1138" s="54"/>
      <c r="P1138" s="12"/>
      <c r="Q1138" s="39"/>
      <c r="R1138" s="84"/>
      <c r="S1138" s="48"/>
      <c r="T1138" s="41"/>
      <c r="U1138" s="52"/>
      <c r="W1138" s="96"/>
      <c r="X1138" s="223"/>
      <c r="Y1138" s="98"/>
      <c r="Z1138" s="97"/>
      <c r="AA1138" s="99"/>
    </row>
    <row r="1139" spans="1:27" s="95" customFormat="1">
      <c r="A1139" s="34"/>
      <c r="B1139" s="76"/>
      <c r="C1139" s="76"/>
      <c r="D1139" s="188"/>
      <c r="E1139" s="44"/>
      <c r="F1139" s="44"/>
      <c r="G1139" s="44"/>
      <c r="H1139" s="44"/>
      <c r="I1139" s="44"/>
      <c r="J1139" s="44"/>
      <c r="K1139" s="44"/>
      <c r="L1139" s="44"/>
      <c r="M1139" s="44"/>
      <c r="N1139" s="53"/>
      <c r="O1139" s="54"/>
      <c r="P1139" s="12"/>
      <c r="Q1139" s="39"/>
      <c r="R1139" s="84"/>
      <c r="S1139" s="48"/>
      <c r="T1139" s="41"/>
      <c r="U1139" s="52"/>
      <c r="W1139" s="96"/>
      <c r="X1139" s="223"/>
      <c r="Y1139" s="98"/>
      <c r="Z1139" s="97"/>
      <c r="AA1139" s="99"/>
    </row>
    <row r="1140" spans="1:27" s="95" customFormat="1">
      <c r="A1140" s="34"/>
      <c r="B1140" s="76"/>
      <c r="C1140" s="76"/>
      <c r="D1140" s="188"/>
      <c r="E1140" s="44"/>
      <c r="F1140" s="44"/>
      <c r="G1140" s="44"/>
      <c r="H1140" s="44"/>
      <c r="I1140" s="44"/>
      <c r="J1140" s="44"/>
      <c r="K1140" s="44"/>
      <c r="L1140" s="44"/>
      <c r="M1140" s="44"/>
      <c r="N1140" s="53"/>
      <c r="O1140" s="54"/>
      <c r="P1140" s="12"/>
      <c r="Q1140" s="39"/>
      <c r="R1140" s="84"/>
      <c r="S1140" s="48"/>
      <c r="T1140" s="41"/>
      <c r="U1140" s="52"/>
      <c r="W1140" s="96"/>
      <c r="X1140" s="223"/>
      <c r="Y1140" s="98"/>
      <c r="Z1140" s="97"/>
      <c r="AA1140" s="99"/>
    </row>
    <row r="1141" spans="1:27" s="95" customFormat="1">
      <c r="A1141" s="34"/>
      <c r="B1141" s="76"/>
      <c r="C1141" s="76"/>
      <c r="D1141" s="188"/>
      <c r="E1141" s="44"/>
      <c r="F1141" s="44"/>
      <c r="G1141" s="44"/>
      <c r="H1141" s="44"/>
      <c r="I1141" s="44"/>
      <c r="J1141" s="44"/>
      <c r="K1141" s="44"/>
      <c r="L1141" s="44"/>
      <c r="M1141" s="44"/>
      <c r="N1141" s="53"/>
      <c r="O1141" s="54"/>
      <c r="P1141" s="12"/>
      <c r="Q1141" s="39"/>
      <c r="R1141" s="84"/>
      <c r="S1141" s="48"/>
      <c r="T1141" s="41"/>
      <c r="U1141" s="52"/>
      <c r="W1141" s="96"/>
      <c r="X1141" s="223"/>
      <c r="Y1141" s="98"/>
      <c r="Z1141" s="97"/>
      <c r="AA1141" s="99"/>
    </row>
    <row r="1142" spans="1:27" s="95" customFormat="1">
      <c r="A1142" s="34"/>
      <c r="B1142" s="76"/>
      <c r="C1142" s="76"/>
      <c r="D1142" s="188"/>
      <c r="E1142" s="44"/>
      <c r="F1142" s="44"/>
      <c r="G1142" s="44"/>
      <c r="H1142" s="44"/>
      <c r="I1142" s="44"/>
      <c r="J1142" s="44"/>
      <c r="K1142" s="44"/>
      <c r="L1142" s="44"/>
      <c r="M1142" s="44"/>
      <c r="N1142" s="53"/>
      <c r="O1142" s="54"/>
      <c r="P1142" s="12"/>
      <c r="Q1142" s="39"/>
      <c r="R1142" s="84"/>
      <c r="S1142" s="48"/>
      <c r="T1142" s="41"/>
      <c r="U1142" s="52"/>
      <c r="W1142" s="96"/>
      <c r="X1142" s="223"/>
      <c r="Y1142" s="98"/>
      <c r="Z1142" s="97"/>
      <c r="AA1142" s="99"/>
    </row>
    <row r="1143" spans="1:27" s="95" customFormat="1">
      <c r="A1143" s="34"/>
      <c r="B1143" s="76"/>
      <c r="C1143" s="76"/>
      <c r="D1143" s="188"/>
      <c r="E1143" s="44"/>
      <c r="F1143" s="44"/>
      <c r="G1143" s="44"/>
      <c r="H1143" s="44"/>
      <c r="I1143" s="44"/>
      <c r="J1143" s="44"/>
      <c r="K1143" s="44"/>
      <c r="L1143" s="44"/>
      <c r="M1143" s="44"/>
      <c r="N1143" s="53"/>
      <c r="O1143" s="54"/>
      <c r="P1143" s="12"/>
      <c r="Q1143" s="39"/>
      <c r="R1143" s="84"/>
      <c r="S1143" s="48"/>
      <c r="T1143" s="41"/>
      <c r="U1143" s="52"/>
      <c r="W1143" s="96"/>
      <c r="X1143" s="223"/>
      <c r="Y1143" s="98"/>
      <c r="Z1143" s="97"/>
      <c r="AA1143" s="99"/>
    </row>
    <row r="1144" spans="1:27" s="95" customFormat="1">
      <c r="A1144" s="34"/>
      <c r="B1144" s="76"/>
      <c r="C1144" s="76"/>
      <c r="D1144" s="188"/>
      <c r="E1144" s="44"/>
      <c r="F1144" s="44"/>
      <c r="G1144" s="44"/>
      <c r="H1144" s="44"/>
      <c r="I1144" s="44"/>
      <c r="J1144" s="44"/>
      <c r="K1144" s="44"/>
      <c r="L1144" s="44"/>
      <c r="M1144" s="44"/>
      <c r="N1144" s="53"/>
      <c r="O1144" s="54"/>
      <c r="P1144" s="12"/>
      <c r="Q1144" s="39"/>
      <c r="R1144" s="84"/>
      <c r="S1144" s="48"/>
      <c r="T1144" s="41"/>
      <c r="U1144" s="52"/>
      <c r="W1144" s="96"/>
      <c r="X1144" s="223"/>
      <c r="Y1144" s="98"/>
      <c r="Z1144" s="97"/>
      <c r="AA1144" s="99"/>
    </row>
    <row r="1145" spans="1:27" s="95" customFormat="1">
      <c r="A1145" s="34"/>
      <c r="B1145" s="76"/>
      <c r="C1145" s="76"/>
      <c r="D1145" s="188"/>
      <c r="E1145" s="44"/>
      <c r="F1145" s="44"/>
      <c r="G1145" s="44"/>
      <c r="H1145" s="44"/>
      <c r="I1145" s="44"/>
      <c r="J1145" s="44"/>
      <c r="K1145" s="44"/>
      <c r="L1145" s="44"/>
      <c r="M1145" s="44"/>
      <c r="N1145" s="53"/>
      <c r="O1145" s="54"/>
      <c r="P1145" s="12"/>
      <c r="Q1145" s="39"/>
      <c r="R1145" s="84"/>
      <c r="S1145" s="48"/>
      <c r="T1145" s="41"/>
      <c r="U1145" s="52"/>
      <c r="W1145" s="96"/>
      <c r="X1145" s="223"/>
      <c r="Y1145" s="98"/>
      <c r="Z1145" s="97"/>
      <c r="AA1145" s="99"/>
    </row>
    <row r="1146" spans="1:27" s="95" customFormat="1">
      <c r="A1146" s="34"/>
      <c r="B1146" s="76"/>
      <c r="C1146" s="76"/>
      <c r="D1146" s="188"/>
      <c r="E1146" s="44"/>
      <c r="F1146" s="44"/>
      <c r="G1146" s="44"/>
      <c r="H1146" s="44"/>
      <c r="I1146" s="44"/>
      <c r="J1146" s="44"/>
      <c r="K1146" s="44"/>
      <c r="L1146" s="44"/>
      <c r="M1146" s="44"/>
      <c r="N1146" s="53"/>
      <c r="O1146" s="54"/>
      <c r="P1146" s="12"/>
      <c r="Q1146" s="39"/>
      <c r="R1146" s="84"/>
      <c r="S1146" s="48"/>
      <c r="T1146" s="41"/>
      <c r="U1146" s="52"/>
      <c r="W1146" s="96"/>
      <c r="X1146" s="223"/>
      <c r="Y1146" s="98"/>
      <c r="Z1146" s="97"/>
      <c r="AA1146" s="99"/>
    </row>
    <row r="1147" spans="1:27" s="95" customFormat="1">
      <c r="A1147" s="34"/>
      <c r="B1147" s="76"/>
      <c r="C1147" s="76"/>
      <c r="D1147" s="188"/>
      <c r="E1147" s="44"/>
      <c r="F1147" s="44"/>
      <c r="G1147" s="44"/>
      <c r="H1147" s="44"/>
      <c r="I1147" s="44"/>
      <c r="J1147" s="44"/>
      <c r="K1147" s="44"/>
      <c r="L1147" s="44"/>
      <c r="M1147" s="44"/>
      <c r="N1147" s="53"/>
      <c r="O1147" s="54"/>
      <c r="P1147" s="12"/>
      <c r="Q1147" s="12"/>
      <c r="R1147" s="86"/>
      <c r="S1147" s="48"/>
      <c r="T1147" s="41"/>
      <c r="U1147" s="52"/>
      <c r="W1147" s="96"/>
      <c r="X1147" s="223"/>
      <c r="Y1147" s="98"/>
      <c r="Z1147" s="97"/>
      <c r="AA1147" s="99"/>
    </row>
    <row r="1148" spans="1:27" s="95" customFormat="1">
      <c r="A1148" s="34"/>
      <c r="B1148" s="76"/>
      <c r="C1148" s="76"/>
      <c r="D1148" s="188"/>
      <c r="E1148" s="44"/>
      <c r="F1148" s="44"/>
      <c r="G1148" s="44"/>
      <c r="H1148" s="44"/>
      <c r="I1148" s="44"/>
      <c r="J1148" s="44"/>
      <c r="K1148" s="44"/>
      <c r="L1148" s="44"/>
      <c r="M1148" s="44"/>
      <c r="N1148" s="53"/>
      <c r="O1148" s="54"/>
      <c r="P1148" s="12"/>
      <c r="Q1148" s="12"/>
      <c r="R1148" s="86"/>
      <c r="S1148" s="48"/>
      <c r="T1148" s="41"/>
      <c r="U1148" s="52"/>
      <c r="W1148" s="96"/>
      <c r="X1148" s="223"/>
      <c r="Y1148" s="98"/>
      <c r="Z1148" s="97"/>
      <c r="AA1148" s="99"/>
    </row>
    <row r="1149" spans="1:27" s="95" customFormat="1">
      <c r="A1149" s="34"/>
      <c r="B1149" s="76"/>
      <c r="C1149" s="76"/>
      <c r="D1149" s="188"/>
      <c r="E1149" s="44"/>
      <c r="F1149" s="44"/>
      <c r="G1149" s="44"/>
      <c r="H1149" s="44"/>
      <c r="I1149" s="44"/>
      <c r="J1149" s="44"/>
      <c r="K1149" s="44"/>
      <c r="L1149" s="44"/>
      <c r="M1149" s="44"/>
      <c r="N1149" s="53"/>
      <c r="O1149" s="54"/>
      <c r="P1149" s="12"/>
      <c r="Q1149" s="34"/>
      <c r="R1149" s="76"/>
      <c r="S1149" s="48"/>
      <c r="T1149" s="41"/>
      <c r="U1149" s="52"/>
      <c r="W1149" s="96"/>
      <c r="X1149" s="223"/>
      <c r="Y1149" s="98"/>
      <c r="Z1149" s="97"/>
      <c r="AA1149" s="99"/>
    </row>
    <row r="1150" spans="1:27" s="95" customFormat="1">
      <c r="A1150" s="34"/>
      <c r="B1150" s="76"/>
      <c r="C1150" s="76"/>
      <c r="D1150" s="188"/>
      <c r="E1150" s="44"/>
      <c r="F1150" s="44"/>
      <c r="G1150" s="44"/>
      <c r="H1150" s="44"/>
      <c r="I1150" s="44"/>
      <c r="J1150" s="44"/>
      <c r="K1150" s="44"/>
      <c r="L1150" s="44"/>
      <c r="M1150" s="44"/>
      <c r="N1150" s="53"/>
      <c r="O1150" s="54"/>
      <c r="P1150" s="12"/>
      <c r="Q1150" s="34"/>
      <c r="R1150" s="76"/>
      <c r="S1150" s="48"/>
      <c r="T1150" s="41"/>
      <c r="U1150" s="52"/>
      <c r="W1150" s="96"/>
      <c r="X1150" s="223"/>
      <c r="Y1150" s="98"/>
      <c r="Z1150" s="97"/>
      <c r="AA1150" s="99"/>
    </row>
    <row r="1151" spans="1:27" s="95" customFormat="1">
      <c r="A1151" s="34"/>
      <c r="B1151" s="76"/>
      <c r="C1151" s="76"/>
      <c r="D1151" s="188"/>
      <c r="E1151" s="44"/>
      <c r="F1151" s="44"/>
      <c r="G1151" s="44"/>
      <c r="H1151" s="44"/>
      <c r="I1151" s="44"/>
      <c r="J1151" s="44"/>
      <c r="K1151" s="44"/>
      <c r="L1151" s="44"/>
      <c r="M1151" s="44"/>
      <c r="N1151" s="53"/>
      <c r="O1151" s="54"/>
      <c r="P1151" s="12"/>
      <c r="Q1151" s="34"/>
      <c r="R1151" s="76"/>
      <c r="S1151" s="48"/>
      <c r="T1151" s="41"/>
      <c r="U1151" s="52"/>
      <c r="W1151" s="96"/>
      <c r="X1151" s="223"/>
      <c r="Y1151" s="98"/>
      <c r="Z1151" s="97"/>
      <c r="AA1151" s="99"/>
    </row>
    <row r="1152" spans="1:27" s="95" customFormat="1">
      <c r="A1152" s="34"/>
      <c r="B1152" s="76"/>
      <c r="C1152" s="76"/>
      <c r="D1152" s="188"/>
      <c r="E1152" s="44"/>
      <c r="F1152" s="44"/>
      <c r="G1152" s="44"/>
      <c r="H1152" s="44"/>
      <c r="I1152" s="44"/>
      <c r="J1152" s="44"/>
      <c r="K1152" s="44"/>
      <c r="L1152" s="44"/>
      <c r="M1152" s="44"/>
      <c r="N1152" s="53"/>
      <c r="O1152" s="54"/>
      <c r="P1152" s="12"/>
      <c r="Q1152" s="34"/>
      <c r="R1152" s="76"/>
      <c r="S1152" s="48"/>
      <c r="T1152" s="41"/>
      <c r="U1152" s="52"/>
      <c r="W1152" s="96"/>
      <c r="X1152" s="223"/>
      <c r="Y1152" s="98"/>
      <c r="Z1152" s="97"/>
      <c r="AA1152" s="99"/>
    </row>
    <row r="1153" spans="1:27" s="95" customFormat="1">
      <c r="A1153" s="34"/>
      <c r="B1153" s="76"/>
      <c r="C1153" s="76"/>
      <c r="D1153" s="188"/>
      <c r="E1153" s="44"/>
      <c r="F1153" s="44"/>
      <c r="G1153" s="44"/>
      <c r="H1153" s="44"/>
      <c r="I1153" s="44"/>
      <c r="J1153" s="44"/>
      <c r="K1153" s="44"/>
      <c r="L1153" s="44"/>
      <c r="M1153" s="44"/>
      <c r="N1153" s="53"/>
      <c r="O1153" s="54"/>
      <c r="P1153" s="12"/>
      <c r="Q1153" s="34"/>
      <c r="R1153" s="76"/>
      <c r="S1153" s="48"/>
      <c r="T1153" s="41"/>
      <c r="U1153" s="52"/>
      <c r="W1153" s="96"/>
      <c r="X1153" s="223"/>
      <c r="Y1153" s="98"/>
      <c r="Z1153" s="97"/>
      <c r="AA1153" s="99"/>
    </row>
    <row r="1154" spans="1:27" s="95" customFormat="1">
      <c r="A1154" s="34"/>
      <c r="B1154" s="76"/>
      <c r="C1154" s="76"/>
      <c r="D1154" s="188"/>
      <c r="E1154" s="44"/>
      <c r="F1154" s="44"/>
      <c r="G1154" s="44"/>
      <c r="H1154" s="44"/>
      <c r="I1154" s="44"/>
      <c r="J1154" s="44"/>
      <c r="K1154" s="44"/>
      <c r="L1154" s="44"/>
      <c r="M1154" s="44"/>
      <c r="N1154" s="53"/>
      <c r="O1154" s="54"/>
      <c r="P1154" s="12"/>
      <c r="Q1154" s="34"/>
      <c r="R1154" s="76"/>
      <c r="S1154" s="48"/>
      <c r="T1154" s="41"/>
      <c r="U1154" s="52"/>
      <c r="W1154" s="96"/>
      <c r="X1154" s="223"/>
      <c r="Y1154" s="98"/>
      <c r="Z1154" s="97"/>
      <c r="AA1154" s="99"/>
    </row>
    <row r="1155" spans="1:27" s="95" customFormat="1">
      <c r="A1155" s="34"/>
      <c r="B1155" s="76"/>
      <c r="C1155" s="76"/>
      <c r="D1155" s="188"/>
      <c r="E1155" s="44"/>
      <c r="F1155" s="44"/>
      <c r="G1155" s="44"/>
      <c r="H1155" s="44"/>
      <c r="I1155" s="44"/>
      <c r="J1155" s="44"/>
      <c r="K1155" s="44"/>
      <c r="L1155" s="44"/>
      <c r="M1155" s="44"/>
      <c r="N1155" s="53"/>
      <c r="O1155" s="54"/>
      <c r="P1155" s="12"/>
      <c r="Q1155" s="34"/>
      <c r="R1155" s="76"/>
      <c r="S1155" s="48"/>
      <c r="T1155" s="41"/>
      <c r="U1155" s="52"/>
      <c r="W1155" s="96"/>
      <c r="X1155" s="223"/>
      <c r="Y1155" s="98"/>
      <c r="Z1155" s="97"/>
      <c r="AA1155" s="99"/>
    </row>
    <row r="1156" spans="1:27" s="95" customFormat="1">
      <c r="A1156" s="34"/>
      <c r="B1156" s="76"/>
      <c r="C1156" s="76"/>
      <c r="D1156" s="188"/>
      <c r="E1156" s="44"/>
      <c r="F1156" s="44"/>
      <c r="G1156" s="44"/>
      <c r="H1156" s="44"/>
      <c r="I1156" s="44"/>
      <c r="J1156" s="44"/>
      <c r="K1156" s="44"/>
      <c r="L1156" s="44"/>
      <c r="M1156" s="44"/>
      <c r="N1156" s="53"/>
      <c r="O1156" s="54"/>
      <c r="P1156" s="12"/>
      <c r="Q1156" s="34"/>
      <c r="R1156" s="76"/>
      <c r="S1156" s="48"/>
      <c r="T1156" s="41"/>
      <c r="U1156" s="52"/>
      <c r="W1156" s="96"/>
      <c r="X1156" s="223"/>
      <c r="Y1156" s="98"/>
      <c r="Z1156" s="97"/>
      <c r="AA1156" s="99"/>
    </row>
    <row r="1157" spans="1:27" s="95" customFormat="1">
      <c r="A1157" s="34"/>
      <c r="B1157" s="76"/>
      <c r="C1157" s="76"/>
      <c r="D1157" s="188"/>
      <c r="E1157" s="44"/>
      <c r="F1157" s="44"/>
      <c r="G1157" s="44"/>
      <c r="H1157" s="44"/>
      <c r="I1157" s="44"/>
      <c r="J1157" s="44"/>
      <c r="K1157" s="44"/>
      <c r="L1157" s="44"/>
      <c r="M1157" s="44"/>
      <c r="N1157" s="53"/>
      <c r="O1157" s="54"/>
      <c r="P1157" s="12"/>
      <c r="Q1157" s="34"/>
      <c r="R1157" s="76"/>
      <c r="S1157" s="48"/>
      <c r="T1157" s="41"/>
      <c r="U1157" s="52"/>
      <c r="W1157" s="96"/>
      <c r="X1157" s="223"/>
      <c r="Y1157" s="98"/>
      <c r="Z1157" s="97"/>
      <c r="AA1157" s="99"/>
    </row>
    <row r="1158" spans="1:27" s="95" customFormat="1">
      <c r="A1158" s="34"/>
      <c r="B1158" s="76"/>
      <c r="C1158" s="76"/>
      <c r="D1158" s="188"/>
      <c r="E1158" s="44"/>
      <c r="F1158" s="44"/>
      <c r="G1158" s="44"/>
      <c r="H1158" s="44"/>
      <c r="I1158" s="44"/>
      <c r="J1158" s="44"/>
      <c r="K1158" s="44"/>
      <c r="L1158" s="44"/>
      <c r="M1158" s="44"/>
      <c r="N1158" s="53"/>
      <c r="O1158" s="54"/>
      <c r="P1158" s="12"/>
      <c r="Q1158" s="34"/>
      <c r="R1158" s="76"/>
      <c r="S1158" s="48"/>
      <c r="T1158" s="41"/>
      <c r="U1158" s="52"/>
      <c r="W1158" s="96"/>
      <c r="X1158" s="223"/>
      <c r="Y1158" s="98"/>
      <c r="Z1158" s="97"/>
      <c r="AA1158" s="99"/>
    </row>
    <row r="1159" spans="1:27" s="95" customFormat="1">
      <c r="A1159" s="34"/>
      <c r="B1159" s="76"/>
      <c r="C1159" s="76"/>
      <c r="D1159" s="188"/>
      <c r="E1159" s="44"/>
      <c r="F1159" s="44"/>
      <c r="G1159" s="44"/>
      <c r="H1159" s="44"/>
      <c r="I1159" s="44"/>
      <c r="J1159" s="44"/>
      <c r="K1159" s="44"/>
      <c r="L1159" s="44"/>
      <c r="M1159" s="44"/>
      <c r="N1159" s="53"/>
      <c r="O1159" s="54"/>
      <c r="P1159" s="12"/>
      <c r="Q1159" s="34"/>
      <c r="R1159" s="76"/>
      <c r="S1159" s="48"/>
      <c r="T1159" s="41"/>
      <c r="U1159" s="52"/>
      <c r="W1159" s="96"/>
      <c r="X1159" s="223"/>
      <c r="Y1159" s="98"/>
      <c r="Z1159" s="97"/>
      <c r="AA1159" s="99"/>
    </row>
    <row r="1160" spans="1:27" s="95" customFormat="1">
      <c r="A1160" s="34"/>
      <c r="B1160" s="80"/>
      <c r="C1160" s="80"/>
      <c r="D1160" s="188"/>
      <c r="E1160" s="44"/>
      <c r="F1160" s="44"/>
      <c r="G1160" s="44"/>
      <c r="H1160" s="44"/>
      <c r="I1160" s="44"/>
      <c r="J1160" s="44"/>
      <c r="K1160" s="44"/>
      <c r="L1160" s="44"/>
      <c r="M1160" s="44"/>
      <c r="N1160" s="53"/>
      <c r="O1160" s="54"/>
      <c r="P1160" s="12"/>
      <c r="Q1160" s="34"/>
      <c r="R1160" s="76"/>
      <c r="S1160" s="48"/>
      <c r="T1160" s="41"/>
      <c r="U1160" s="52"/>
      <c r="W1160" s="96"/>
      <c r="X1160" s="223"/>
      <c r="Y1160" s="98"/>
      <c r="Z1160" s="97"/>
      <c r="AA1160" s="99"/>
    </row>
    <row r="1161" spans="1:27">
      <c r="A1161" s="34"/>
      <c r="B1161" s="80"/>
      <c r="C1161" s="80"/>
      <c r="D1161" s="188"/>
      <c r="E1161" s="44"/>
      <c r="F1161" s="44"/>
      <c r="G1161" s="44"/>
      <c r="H1161" s="44"/>
      <c r="I1161" s="44"/>
      <c r="J1161" s="44"/>
      <c r="K1161" s="44"/>
      <c r="L1161" s="44"/>
      <c r="M1161" s="44"/>
      <c r="N1161" s="53"/>
      <c r="O1161" s="54"/>
      <c r="P1161" s="12"/>
      <c r="Q1161" s="12"/>
      <c r="R1161" s="86"/>
      <c r="S1161" s="48"/>
      <c r="T1161" s="41"/>
      <c r="U1161" s="52"/>
    </row>
    <row r="1162" spans="1:27">
      <c r="A1162" s="34"/>
      <c r="B1162" s="80"/>
      <c r="C1162" s="80"/>
      <c r="D1162" s="188"/>
      <c r="E1162" s="44"/>
      <c r="F1162" s="44"/>
      <c r="G1162" s="44"/>
      <c r="H1162" s="44"/>
      <c r="I1162" s="44"/>
      <c r="J1162" s="44"/>
      <c r="K1162" s="44"/>
      <c r="L1162" s="44"/>
      <c r="M1162" s="44"/>
      <c r="N1162" s="53"/>
      <c r="O1162" s="54"/>
      <c r="P1162" s="12"/>
      <c r="Q1162" s="12"/>
      <c r="R1162" s="86"/>
      <c r="S1162" s="48"/>
      <c r="T1162" s="41"/>
      <c r="U1162" s="52"/>
    </row>
    <row r="1163" spans="1:27">
      <c r="A1163" s="34"/>
      <c r="B1163" s="80"/>
      <c r="C1163" s="80"/>
      <c r="D1163" s="188"/>
      <c r="E1163" s="44"/>
      <c r="F1163" s="44"/>
      <c r="G1163" s="44"/>
      <c r="H1163" s="44"/>
      <c r="I1163" s="44"/>
      <c r="J1163" s="44"/>
      <c r="K1163" s="44"/>
      <c r="L1163" s="44"/>
      <c r="M1163" s="44"/>
      <c r="N1163" s="53"/>
      <c r="O1163" s="54"/>
      <c r="P1163" s="12"/>
      <c r="Q1163" s="34"/>
      <c r="R1163" s="76"/>
      <c r="S1163" s="48"/>
      <c r="T1163" s="41"/>
      <c r="U1163" s="52"/>
    </row>
    <row r="1164" spans="1:27">
      <c r="A1164" s="34"/>
      <c r="B1164" s="80"/>
      <c r="C1164" s="80"/>
      <c r="D1164" s="188"/>
      <c r="E1164" s="44"/>
      <c r="F1164" s="44"/>
      <c r="G1164" s="44"/>
      <c r="H1164" s="44"/>
      <c r="I1164" s="44"/>
      <c r="J1164" s="44"/>
      <c r="K1164" s="44"/>
      <c r="L1164" s="44"/>
      <c r="M1164" s="44"/>
      <c r="N1164" s="53"/>
      <c r="O1164" s="54"/>
      <c r="P1164" s="12"/>
      <c r="Q1164" s="12"/>
      <c r="R1164" s="86"/>
      <c r="S1164" s="48"/>
      <c r="T1164" s="41"/>
      <c r="U1164" s="52"/>
    </row>
    <row r="1165" spans="1:27">
      <c r="A1165" s="34"/>
      <c r="B1165" s="80"/>
      <c r="C1165" s="80"/>
      <c r="D1165" s="188"/>
      <c r="E1165" s="44"/>
      <c r="F1165" s="44"/>
      <c r="G1165" s="44"/>
      <c r="H1165" s="44"/>
      <c r="I1165" s="44"/>
      <c r="J1165" s="44"/>
      <c r="K1165" s="44"/>
      <c r="L1165" s="44"/>
      <c r="M1165" s="44"/>
      <c r="N1165" s="53"/>
      <c r="O1165" s="54"/>
      <c r="P1165" s="12"/>
      <c r="Q1165" s="55"/>
      <c r="R1165" s="86"/>
      <c r="S1165" s="48"/>
      <c r="T1165" s="41"/>
      <c r="U1165" s="52"/>
    </row>
    <row r="1166" spans="1:27">
      <c r="A1166" s="34"/>
      <c r="B1166" s="80"/>
      <c r="C1166" s="80"/>
      <c r="D1166" s="188"/>
      <c r="E1166" s="44"/>
      <c r="F1166" s="44"/>
      <c r="G1166" s="44"/>
      <c r="H1166" s="44"/>
      <c r="I1166" s="44"/>
      <c r="J1166" s="44"/>
      <c r="K1166" s="44"/>
      <c r="L1166" s="44"/>
      <c r="M1166" s="44"/>
      <c r="N1166" s="53"/>
      <c r="O1166" s="54"/>
      <c r="P1166" s="12"/>
      <c r="Q1166" s="55"/>
      <c r="R1166" s="86"/>
      <c r="S1166" s="48"/>
      <c r="T1166" s="41"/>
      <c r="U1166" s="52"/>
    </row>
    <row r="1167" spans="1:27">
      <c r="A1167" s="34"/>
      <c r="B1167" s="80"/>
      <c r="C1167" s="80"/>
      <c r="D1167" s="188"/>
      <c r="E1167" s="44"/>
      <c r="F1167" s="44"/>
      <c r="G1167" s="44"/>
      <c r="H1167" s="44"/>
      <c r="I1167" s="44"/>
      <c r="J1167" s="44"/>
      <c r="K1167" s="44"/>
      <c r="L1167" s="44"/>
      <c r="M1167" s="44"/>
      <c r="N1167" s="53"/>
      <c r="O1167" s="54"/>
      <c r="P1167" s="12"/>
      <c r="Q1167" s="55"/>
      <c r="R1167" s="86"/>
      <c r="S1167" s="48"/>
      <c r="T1167" s="41"/>
      <c r="U1167" s="52"/>
    </row>
    <row r="1168" spans="1:27">
      <c r="A1168" s="34"/>
      <c r="B1168" s="80"/>
      <c r="C1168" s="80"/>
      <c r="D1168" s="188"/>
      <c r="E1168" s="44"/>
      <c r="F1168" s="44"/>
      <c r="G1168" s="44"/>
      <c r="H1168" s="44"/>
      <c r="I1168" s="44"/>
      <c r="J1168" s="44"/>
      <c r="K1168" s="44"/>
      <c r="L1168" s="44"/>
      <c r="M1168" s="44"/>
      <c r="N1168" s="53"/>
      <c r="O1168" s="54"/>
      <c r="P1168" s="12"/>
      <c r="Q1168" s="55"/>
      <c r="R1168" s="86"/>
      <c r="S1168" s="48"/>
      <c r="T1168" s="41"/>
      <c r="U1168" s="52"/>
    </row>
    <row r="1169" spans="1:27">
      <c r="A1169" s="34"/>
      <c r="B1169" s="80"/>
      <c r="C1169" s="80"/>
      <c r="D1169" s="188"/>
      <c r="E1169" s="44"/>
      <c r="F1169" s="44"/>
      <c r="G1169" s="44"/>
      <c r="H1169" s="44"/>
      <c r="I1169" s="44"/>
      <c r="J1169" s="44"/>
      <c r="K1169" s="44"/>
      <c r="L1169" s="44"/>
      <c r="M1169" s="44"/>
      <c r="N1169" s="53"/>
      <c r="O1169" s="54"/>
      <c r="P1169" s="12"/>
      <c r="Q1169" s="55"/>
      <c r="R1169" s="86"/>
      <c r="S1169" s="48"/>
      <c r="T1169" s="41"/>
      <c r="U1169" s="52"/>
    </row>
    <row r="1170" spans="1:27">
      <c r="A1170" s="34"/>
      <c r="B1170" s="80"/>
      <c r="C1170" s="80"/>
      <c r="D1170" s="188"/>
      <c r="E1170" s="44"/>
      <c r="F1170" s="44"/>
      <c r="G1170" s="44"/>
      <c r="H1170" s="44"/>
      <c r="I1170" s="44"/>
      <c r="J1170" s="44"/>
      <c r="K1170" s="44"/>
      <c r="L1170" s="44"/>
      <c r="M1170" s="44"/>
      <c r="N1170" s="53"/>
      <c r="O1170" s="54"/>
      <c r="P1170" s="12"/>
      <c r="Q1170" s="55"/>
      <c r="R1170" s="86"/>
      <c r="S1170" s="48"/>
      <c r="T1170" s="41"/>
      <c r="U1170" s="52"/>
    </row>
    <row r="1171" spans="1:27">
      <c r="A1171" s="34"/>
      <c r="B1171" s="80"/>
      <c r="C1171" s="80"/>
      <c r="D1171" s="188"/>
      <c r="E1171" s="44"/>
      <c r="F1171" s="44"/>
      <c r="G1171" s="44"/>
      <c r="H1171" s="44"/>
      <c r="I1171" s="44"/>
      <c r="J1171" s="44"/>
      <c r="K1171" s="44"/>
      <c r="L1171" s="44"/>
      <c r="M1171" s="44"/>
      <c r="N1171" s="53"/>
      <c r="O1171" s="54"/>
      <c r="P1171" s="12"/>
      <c r="Q1171" s="55"/>
      <c r="R1171" s="86"/>
      <c r="S1171" s="48"/>
      <c r="T1171" s="41"/>
      <c r="U1171" s="52"/>
    </row>
    <row r="1172" spans="1:27">
      <c r="A1172" s="34"/>
      <c r="B1172" s="80"/>
      <c r="C1172" s="80"/>
      <c r="D1172" s="188"/>
      <c r="E1172" s="44"/>
      <c r="F1172" s="44"/>
      <c r="G1172" s="44"/>
      <c r="H1172" s="44"/>
      <c r="I1172" s="44"/>
      <c r="J1172" s="44"/>
      <c r="K1172" s="44"/>
      <c r="L1172" s="44"/>
      <c r="M1172" s="44"/>
      <c r="N1172" s="53"/>
      <c r="O1172" s="54"/>
      <c r="P1172" s="12"/>
      <c r="Q1172" s="55"/>
      <c r="R1172" s="86"/>
      <c r="S1172" s="48"/>
      <c r="T1172" s="41"/>
      <c r="U1172" s="52"/>
    </row>
    <row r="1173" spans="1:27">
      <c r="A1173" s="55"/>
      <c r="B1173" s="81"/>
      <c r="C1173" s="81"/>
      <c r="D1173" s="189"/>
      <c r="E1173" s="12"/>
      <c r="F1173" s="12"/>
      <c r="G1173" s="12"/>
      <c r="H1173" s="12"/>
      <c r="I1173" s="12"/>
      <c r="J1173" s="12"/>
      <c r="K1173" s="12"/>
      <c r="L1173" s="12"/>
      <c r="M1173" s="44"/>
      <c r="N1173" s="56"/>
      <c r="O1173" s="57"/>
      <c r="P1173" s="55"/>
      <c r="Q1173" s="55"/>
      <c r="R1173" s="86"/>
      <c r="S1173" s="58"/>
      <c r="T1173" s="41"/>
      <c r="U1173" s="52"/>
    </row>
    <row r="1174" spans="1:27">
      <c r="A1174" s="55"/>
      <c r="B1174" s="82"/>
      <c r="C1174" s="82"/>
      <c r="D1174" s="190"/>
      <c r="E1174" s="41"/>
      <c r="F1174" s="41"/>
      <c r="G1174" s="41"/>
      <c r="H1174" s="41"/>
      <c r="I1174" s="41"/>
      <c r="J1174" s="41"/>
      <c r="K1174" s="41"/>
      <c r="L1174" s="41"/>
      <c r="M1174" s="115"/>
      <c r="N1174" s="56"/>
      <c r="O1174" s="57"/>
      <c r="P1174" s="59"/>
      <c r="Q1174" s="55"/>
      <c r="R1174" s="86"/>
      <c r="S1174" s="58"/>
      <c r="T1174" s="41"/>
      <c r="U1174" s="52"/>
    </row>
    <row r="1175" spans="1:27">
      <c r="A1175" s="55"/>
      <c r="B1175" s="81"/>
      <c r="C1175" s="81"/>
      <c r="D1175" s="189"/>
      <c r="E1175" s="12"/>
      <c r="F1175" s="12"/>
      <c r="G1175" s="12"/>
      <c r="H1175" s="12"/>
      <c r="I1175" s="12"/>
      <c r="J1175" s="12"/>
      <c r="K1175" s="12"/>
      <c r="L1175" s="12"/>
      <c r="M1175" s="44"/>
      <c r="N1175" s="56"/>
      <c r="O1175" s="57"/>
      <c r="P1175" s="55"/>
      <c r="Q1175" s="59"/>
      <c r="R1175" s="52"/>
      <c r="S1175" s="58"/>
      <c r="T1175" s="41"/>
      <c r="U1175" s="52"/>
    </row>
    <row r="1176" spans="1:27" s="60" customFormat="1">
      <c r="B1176" s="62"/>
      <c r="C1176" s="62"/>
      <c r="D1176" s="191"/>
      <c r="M1176" s="116"/>
      <c r="N1176" s="61"/>
      <c r="O1176" s="62"/>
      <c r="Q1176" s="55"/>
      <c r="R1176" s="86"/>
      <c r="S1176" s="62"/>
      <c r="T1176" s="63"/>
      <c r="U1176" s="63"/>
      <c r="V1176" s="62"/>
      <c r="W1176" s="204"/>
      <c r="X1176" s="205"/>
      <c r="Y1176" s="205"/>
      <c r="AA1176" s="62"/>
    </row>
    <row r="1177" spans="1:27" s="60" customFormat="1">
      <c r="B1177" s="62"/>
      <c r="C1177" s="62"/>
      <c r="D1177" s="191"/>
      <c r="M1177" s="116"/>
      <c r="N1177" s="61"/>
      <c r="O1177" s="64"/>
      <c r="P1177" s="65"/>
      <c r="R1177" s="63"/>
      <c r="S1177" s="62"/>
      <c r="T1177" s="63"/>
      <c r="U1177" s="63"/>
      <c r="V1177" s="62"/>
      <c r="W1177" s="204"/>
      <c r="X1177" s="205"/>
      <c r="Y1177" s="205"/>
      <c r="AA1177" s="62"/>
    </row>
    <row r="1178" spans="1:27" s="60" customFormat="1">
      <c r="B1178" s="62"/>
      <c r="C1178" s="62"/>
      <c r="D1178" s="191"/>
      <c r="M1178" s="116"/>
      <c r="N1178" s="61"/>
      <c r="O1178" s="64"/>
      <c r="P1178" s="65"/>
      <c r="Q1178" s="65"/>
      <c r="R1178" s="166"/>
      <c r="S1178" s="62"/>
      <c r="T1178" s="63"/>
      <c r="U1178" s="63"/>
      <c r="V1178" s="62"/>
      <c r="W1178" s="204"/>
      <c r="X1178" s="205"/>
      <c r="Y1178" s="205"/>
      <c r="AA1178" s="62"/>
    </row>
    <row r="1179" spans="1:27" s="60" customFormat="1">
      <c r="B1179" s="62"/>
      <c r="C1179" s="62"/>
      <c r="D1179" s="191"/>
      <c r="M1179" s="116"/>
      <c r="N1179" s="61"/>
      <c r="O1179" s="64"/>
      <c r="P1179" s="65"/>
      <c r="Q1179" s="65"/>
      <c r="R1179" s="166"/>
      <c r="S1179" s="62"/>
      <c r="T1179" s="63"/>
      <c r="U1179" s="63"/>
      <c r="V1179" s="62"/>
      <c r="W1179" s="204"/>
      <c r="X1179" s="205"/>
      <c r="Y1179" s="205"/>
      <c r="AA1179" s="62"/>
    </row>
    <row r="1180" spans="1:27" s="60" customFormat="1">
      <c r="B1180" s="62"/>
      <c r="C1180" s="62"/>
      <c r="D1180" s="191"/>
      <c r="M1180" s="116"/>
      <c r="N1180" s="61"/>
      <c r="O1180" s="64"/>
      <c r="P1180" s="65"/>
      <c r="Q1180" s="65"/>
      <c r="R1180" s="166"/>
      <c r="S1180" s="62"/>
      <c r="T1180" s="63"/>
      <c r="U1180" s="63"/>
      <c r="V1180" s="62"/>
      <c r="W1180" s="204"/>
      <c r="X1180" s="205"/>
      <c r="Y1180" s="205"/>
      <c r="AA1180" s="62"/>
    </row>
    <row r="1181" spans="1:27" s="60" customFormat="1">
      <c r="B1181" s="62"/>
      <c r="C1181" s="62"/>
      <c r="D1181" s="191"/>
      <c r="M1181" s="116"/>
      <c r="N1181" s="61"/>
      <c r="O1181" s="64"/>
      <c r="P1181" s="65"/>
      <c r="Q1181" s="65"/>
      <c r="R1181" s="166"/>
      <c r="S1181" s="62"/>
      <c r="T1181" s="63"/>
      <c r="U1181" s="63"/>
      <c r="V1181" s="62"/>
      <c r="W1181" s="204"/>
      <c r="X1181" s="205"/>
      <c r="Y1181" s="205"/>
      <c r="AA1181" s="62"/>
    </row>
    <row r="1182" spans="1:27" s="60" customFormat="1">
      <c r="B1182" s="62"/>
      <c r="C1182" s="62"/>
      <c r="D1182" s="191"/>
      <c r="M1182" s="116"/>
      <c r="N1182" s="61"/>
      <c r="O1182" s="64"/>
      <c r="P1182" s="65"/>
      <c r="Q1182" s="65"/>
      <c r="R1182" s="166"/>
      <c r="S1182" s="62"/>
      <c r="T1182" s="63"/>
      <c r="U1182" s="63"/>
      <c r="V1182" s="62"/>
      <c r="W1182" s="204"/>
      <c r="X1182" s="205"/>
      <c r="Y1182" s="205"/>
      <c r="AA1182" s="62"/>
    </row>
    <row r="1183" spans="1:27" s="60" customFormat="1">
      <c r="B1183" s="62"/>
      <c r="C1183" s="62"/>
      <c r="D1183" s="191"/>
      <c r="M1183" s="116"/>
      <c r="N1183" s="61"/>
      <c r="O1183" s="64"/>
      <c r="P1183" s="65"/>
      <c r="Q1183" s="65"/>
      <c r="R1183" s="166"/>
      <c r="S1183" s="62"/>
      <c r="T1183" s="63"/>
      <c r="U1183" s="63"/>
      <c r="V1183" s="62"/>
      <c r="W1183" s="204"/>
      <c r="X1183" s="205"/>
      <c r="Y1183" s="205"/>
      <c r="AA1183" s="62"/>
    </row>
    <row r="1184" spans="1:27" s="60" customFormat="1">
      <c r="B1184" s="62"/>
      <c r="C1184" s="62"/>
      <c r="D1184" s="191"/>
      <c r="M1184" s="116"/>
      <c r="N1184" s="61"/>
      <c r="O1184" s="64"/>
      <c r="P1184" s="65"/>
      <c r="Q1184" s="65"/>
      <c r="R1184" s="166"/>
      <c r="S1184" s="62"/>
      <c r="T1184" s="63"/>
      <c r="U1184" s="63"/>
      <c r="V1184" s="62"/>
      <c r="W1184" s="204"/>
      <c r="X1184" s="205"/>
      <c r="Y1184" s="205"/>
      <c r="AA1184" s="62"/>
    </row>
    <row r="1185" spans="2:27" s="60" customFormat="1">
      <c r="B1185" s="62"/>
      <c r="C1185" s="62"/>
      <c r="D1185" s="191"/>
      <c r="M1185" s="116"/>
      <c r="N1185" s="61"/>
      <c r="O1185" s="64"/>
      <c r="P1185" s="65"/>
      <c r="Q1185" s="65"/>
      <c r="R1185" s="166"/>
      <c r="S1185" s="62"/>
      <c r="T1185" s="63"/>
      <c r="U1185" s="63"/>
      <c r="V1185" s="62"/>
      <c r="W1185" s="204"/>
      <c r="X1185" s="205"/>
      <c r="Y1185" s="205"/>
      <c r="AA1185" s="62"/>
    </row>
    <row r="1186" spans="2:27" s="60" customFormat="1">
      <c r="B1186" s="62"/>
      <c r="C1186" s="62"/>
      <c r="D1186" s="191"/>
      <c r="M1186" s="116"/>
      <c r="N1186" s="61"/>
      <c r="O1186" s="64"/>
      <c r="P1186" s="65"/>
      <c r="Q1186" s="65"/>
      <c r="R1186" s="166"/>
      <c r="S1186" s="62"/>
      <c r="T1186" s="63"/>
      <c r="U1186" s="63"/>
      <c r="V1186" s="62"/>
      <c r="W1186" s="204"/>
      <c r="X1186" s="205"/>
      <c r="Y1186" s="205"/>
      <c r="AA1186" s="62"/>
    </row>
    <row r="1187" spans="2:27" s="60" customFormat="1">
      <c r="B1187" s="62"/>
      <c r="C1187" s="62"/>
      <c r="D1187" s="191"/>
      <c r="M1187" s="116"/>
      <c r="N1187" s="61"/>
      <c r="O1187" s="64"/>
      <c r="P1187" s="65"/>
      <c r="Q1187" s="65"/>
      <c r="R1187" s="166"/>
      <c r="S1187" s="62"/>
      <c r="T1187" s="63"/>
      <c r="U1187" s="63"/>
      <c r="V1187" s="62"/>
      <c r="W1187" s="204"/>
      <c r="X1187" s="205"/>
      <c r="Y1187" s="205"/>
      <c r="AA1187" s="62"/>
    </row>
    <row r="1188" spans="2:27" s="60" customFormat="1">
      <c r="B1188" s="62"/>
      <c r="C1188" s="62"/>
      <c r="D1188" s="191"/>
      <c r="M1188" s="116"/>
      <c r="N1188" s="61"/>
      <c r="O1188" s="64"/>
      <c r="P1188" s="65"/>
      <c r="Q1188" s="65"/>
      <c r="R1188" s="166"/>
      <c r="S1188" s="62"/>
      <c r="T1188" s="63"/>
      <c r="U1188" s="63"/>
      <c r="V1188" s="62"/>
      <c r="W1188" s="204"/>
      <c r="X1188" s="205"/>
      <c r="Y1188" s="205"/>
      <c r="AA1188" s="62"/>
    </row>
    <row r="1189" spans="2:27" s="60" customFormat="1">
      <c r="B1189" s="62"/>
      <c r="C1189" s="62"/>
      <c r="D1189" s="191"/>
      <c r="M1189" s="116"/>
      <c r="N1189" s="61"/>
      <c r="O1189" s="64"/>
      <c r="P1189" s="65"/>
      <c r="Q1189" s="65"/>
      <c r="R1189" s="166"/>
      <c r="S1189" s="62"/>
      <c r="T1189" s="63"/>
      <c r="U1189" s="63"/>
      <c r="V1189" s="62"/>
      <c r="W1189" s="204"/>
      <c r="X1189" s="205"/>
      <c r="Y1189" s="205"/>
      <c r="AA1189" s="62"/>
    </row>
    <row r="1190" spans="2:27" s="60" customFormat="1">
      <c r="B1190" s="62"/>
      <c r="C1190" s="62"/>
      <c r="D1190" s="191"/>
      <c r="M1190" s="116"/>
      <c r="N1190" s="61"/>
      <c r="O1190" s="64"/>
      <c r="P1190" s="65"/>
      <c r="Q1190" s="65"/>
      <c r="R1190" s="166"/>
      <c r="S1190" s="62"/>
      <c r="T1190" s="63"/>
      <c r="U1190" s="63"/>
      <c r="V1190" s="62"/>
      <c r="W1190" s="204"/>
      <c r="X1190" s="205"/>
      <c r="Y1190" s="205"/>
      <c r="AA1190" s="62"/>
    </row>
    <row r="1191" spans="2:27" s="60" customFormat="1">
      <c r="B1191" s="62"/>
      <c r="C1191" s="62"/>
      <c r="D1191" s="191"/>
      <c r="M1191" s="116"/>
      <c r="N1191" s="61"/>
      <c r="O1191" s="64"/>
      <c r="P1191" s="65"/>
      <c r="Q1191" s="65"/>
      <c r="R1191" s="166"/>
      <c r="S1191" s="62"/>
      <c r="T1191" s="63"/>
      <c r="U1191" s="63"/>
      <c r="V1191" s="62"/>
      <c r="W1191" s="204"/>
      <c r="X1191" s="205"/>
      <c r="Y1191" s="205"/>
      <c r="AA1191" s="62"/>
    </row>
    <row r="1192" spans="2:27" s="212" customFormat="1">
      <c r="B1192" s="99"/>
      <c r="C1192" s="99"/>
      <c r="D1192" s="206"/>
      <c r="E1192" s="207"/>
      <c r="F1192" s="207"/>
      <c r="G1192" s="207"/>
      <c r="H1192" s="207"/>
      <c r="I1192" s="207"/>
      <c r="J1192" s="207"/>
      <c r="K1192" s="207"/>
      <c r="L1192" s="207"/>
      <c r="M1192" s="208"/>
      <c r="N1192" s="209"/>
      <c r="O1192" s="64"/>
      <c r="P1192" s="65"/>
      <c r="Q1192" s="65"/>
      <c r="R1192" s="166"/>
      <c r="S1192" s="210"/>
      <c r="T1192" s="211"/>
      <c r="U1192" s="211"/>
      <c r="V1192" s="99"/>
      <c r="W1192" s="96"/>
      <c r="X1192" s="98"/>
      <c r="Y1192" s="98"/>
      <c r="AA1192" s="99"/>
    </row>
    <row r="1193" spans="2:27" s="212" customFormat="1">
      <c r="B1193" s="99"/>
      <c r="C1193" s="99"/>
      <c r="D1193" s="206"/>
      <c r="E1193" s="207"/>
      <c r="F1193" s="207"/>
      <c r="G1193" s="207"/>
      <c r="H1193" s="207"/>
      <c r="I1193" s="207"/>
      <c r="J1193" s="207"/>
      <c r="K1193" s="207"/>
      <c r="L1193" s="207"/>
      <c r="M1193" s="208"/>
      <c r="N1193" s="209"/>
      <c r="O1193" s="213"/>
      <c r="P1193" s="213"/>
      <c r="Q1193" s="65"/>
      <c r="R1193" s="166"/>
      <c r="S1193" s="210"/>
      <c r="T1193" s="211"/>
      <c r="U1193" s="211"/>
      <c r="V1193" s="99"/>
      <c r="W1193" s="96"/>
      <c r="X1193" s="98"/>
      <c r="Y1193" s="98"/>
      <c r="AA1193" s="99"/>
    </row>
    <row r="1194" spans="2:27" s="212" customFormat="1">
      <c r="B1194" s="99"/>
      <c r="C1194" s="99"/>
      <c r="D1194" s="206"/>
      <c r="E1194" s="207"/>
      <c r="F1194" s="207"/>
      <c r="G1194" s="207"/>
      <c r="H1194" s="207"/>
      <c r="I1194" s="207"/>
      <c r="J1194" s="207"/>
      <c r="K1194" s="207"/>
      <c r="L1194" s="207"/>
      <c r="M1194" s="208"/>
      <c r="N1194" s="209"/>
      <c r="O1194" s="214"/>
      <c r="Q1194" s="213"/>
      <c r="R1194" s="213"/>
      <c r="S1194" s="210"/>
      <c r="T1194" s="211"/>
      <c r="U1194" s="211"/>
      <c r="V1194" s="99"/>
      <c r="W1194" s="96"/>
      <c r="X1194" s="98"/>
      <c r="Y1194" s="98"/>
      <c r="AA1194" s="99"/>
    </row>
    <row r="1195" spans="2:27">
      <c r="Q1195" s="212"/>
      <c r="R1195" s="211"/>
    </row>
  </sheetData>
  <mergeCells count="3">
    <mergeCell ref="A1:S1"/>
    <mergeCell ref="A2:S2"/>
    <mergeCell ref="J481:K481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324"/>
  <sheetViews>
    <sheetView topLeftCell="B39" zoomScaleNormal="100" workbookViewId="0">
      <selection activeCell="Y45" sqref="Y45"/>
    </sheetView>
  </sheetViews>
  <sheetFormatPr defaultRowHeight="18.75"/>
  <cols>
    <col min="1" max="1" width="5.42578125" hidden="1" customWidth="1"/>
    <col min="2" max="2" width="13.140625" style="83" customWidth="1"/>
    <col min="3" max="3" width="3.42578125" style="83" hidden="1" customWidth="1"/>
    <col min="4" max="4" width="18.7109375" style="3" hidden="1" customWidth="1"/>
    <col min="5" max="5" width="5.7109375" style="3" hidden="1" customWidth="1"/>
    <col min="6" max="6" width="5" style="3" hidden="1" customWidth="1"/>
    <col min="7" max="7" width="6.7109375" style="3" hidden="1" customWidth="1"/>
    <col min="8" max="8" width="7" style="3" hidden="1" customWidth="1"/>
    <col min="9" max="9" width="8" style="3" hidden="1" customWidth="1"/>
    <col min="10" max="10" width="10.28515625" style="3" hidden="1" customWidth="1"/>
    <col min="11" max="11" width="10.7109375" style="3" hidden="1" customWidth="1"/>
    <col min="12" max="12" width="6.85546875" style="3" hidden="1" customWidth="1"/>
    <col min="13" max="13" width="9.85546875" style="119" customWidth="1"/>
    <col min="14" max="14" width="10.85546875" style="26" customWidth="1"/>
    <col min="15" max="15" width="10.7109375" style="30" customWidth="1"/>
    <col min="16" max="16" width="14.85546875" customWidth="1"/>
    <col min="17" max="17" width="18.140625" customWidth="1"/>
    <col min="18" max="18" width="8.5703125" style="168" customWidth="1"/>
    <col min="19" max="19" width="9.140625" style="16"/>
    <col min="20" max="20" width="11.85546875" style="22" customWidth="1"/>
    <col min="21" max="21" width="14.140625" style="22" customWidth="1"/>
    <col min="22" max="22" width="18.5703125" style="31" hidden="1" customWidth="1"/>
    <col min="23" max="23" width="9" style="73" customWidth="1"/>
    <col min="24" max="24" width="12.140625" bestFit="1" customWidth="1"/>
    <col min="25" max="25" width="9.140625" style="69"/>
    <col min="27" max="27" width="12" style="33" customWidth="1"/>
  </cols>
  <sheetData>
    <row r="1" spans="1:27" ht="21">
      <c r="A1" s="432" t="s">
        <v>17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</row>
    <row r="2" spans="1:27" ht="37.15" customHeight="1">
      <c r="A2" s="433" t="s">
        <v>315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1:27" ht="37.15" customHeight="1">
      <c r="A3" s="138"/>
      <c r="B3" s="138"/>
      <c r="C3" s="138"/>
      <c r="D3" s="434" t="s">
        <v>121</v>
      </c>
      <c r="E3" s="434"/>
      <c r="F3" s="434"/>
      <c r="G3" s="434"/>
      <c r="H3" s="434"/>
      <c r="I3" s="434"/>
      <c r="J3" s="434"/>
      <c r="K3" s="434"/>
      <c r="L3" s="434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</row>
    <row r="4" spans="1:27" ht="27" customHeight="1" thickBot="1">
      <c r="A4" s="435" t="s">
        <v>19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139"/>
      <c r="S4" s="13"/>
      <c r="T4" s="13"/>
      <c r="U4" s="13"/>
      <c r="V4" s="13"/>
      <c r="W4" s="72"/>
      <c r="X4" s="2"/>
      <c r="Y4" s="67"/>
    </row>
    <row r="5" spans="1:27" s="1" customFormat="1" ht="87" customHeight="1">
      <c r="A5" s="429" t="s">
        <v>120</v>
      </c>
      <c r="B5" s="429" t="s">
        <v>108</v>
      </c>
      <c r="C5" s="429" t="s">
        <v>109</v>
      </c>
      <c r="D5" s="429" t="s">
        <v>2</v>
      </c>
      <c r="E5" s="140" t="s">
        <v>110</v>
      </c>
      <c r="F5" s="140" t="s">
        <v>111</v>
      </c>
      <c r="G5" s="140" t="s">
        <v>112</v>
      </c>
      <c r="H5" s="140" t="s">
        <v>113</v>
      </c>
      <c r="I5" s="436" t="s">
        <v>3</v>
      </c>
      <c r="J5" s="437"/>
      <c r="K5" s="438" t="s">
        <v>117</v>
      </c>
      <c r="L5" s="439"/>
      <c r="M5" s="427" t="s">
        <v>114</v>
      </c>
      <c r="N5" s="427" t="s">
        <v>0</v>
      </c>
      <c r="O5" s="425" t="s">
        <v>1</v>
      </c>
      <c r="P5" s="425" t="s">
        <v>14</v>
      </c>
      <c r="Q5" s="425" t="s">
        <v>15</v>
      </c>
      <c r="R5" s="431" t="s">
        <v>307</v>
      </c>
      <c r="S5" s="431" t="s">
        <v>116</v>
      </c>
      <c r="V5" s="90" t="s">
        <v>35</v>
      </c>
      <c r="W5" s="71"/>
      <c r="Y5" s="68"/>
      <c r="AA5" s="66"/>
    </row>
    <row r="6" spans="1:27" ht="90">
      <c r="A6" s="430"/>
      <c r="B6" s="430"/>
      <c r="C6" s="430"/>
      <c r="D6" s="430"/>
      <c r="E6" s="141"/>
      <c r="F6" s="141"/>
      <c r="G6" s="141"/>
      <c r="H6" s="141"/>
      <c r="I6" s="4" t="s">
        <v>4</v>
      </c>
      <c r="J6" s="4" t="s">
        <v>5</v>
      </c>
      <c r="K6" s="110" t="s">
        <v>118</v>
      </c>
      <c r="L6" s="110" t="s">
        <v>119</v>
      </c>
      <c r="M6" s="428"/>
      <c r="N6" s="428"/>
      <c r="O6" s="426"/>
      <c r="P6" s="426"/>
      <c r="Q6" s="426"/>
      <c r="R6" s="431"/>
      <c r="S6" s="431"/>
      <c r="V6" s="91"/>
    </row>
    <row r="7" spans="1:27">
      <c r="A7" s="141"/>
      <c r="B7" s="141"/>
      <c r="C7" s="141"/>
      <c r="D7" s="141"/>
      <c r="E7" s="141"/>
      <c r="F7" s="141"/>
      <c r="G7" s="141"/>
      <c r="H7" s="141"/>
      <c r="I7" s="4"/>
      <c r="J7" s="4"/>
      <c r="K7" s="110"/>
      <c r="L7" s="110"/>
      <c r="M7" s="142"/>
      <c r="N7" s="142"/>
      <c r="O7" s="143"/>
      <c r="P7" s="143"/>
      <c r="Q7" s="143"/>
      <c r="R7" s="144"/>
      <c r="S7" s="144"/>
      <c r="V7" s="91"/>
    </row>
    <row r="8" spans="1:27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06">
        <v>9</v>
      </c>
      <c r="J8" s="106">
        <v>10</v>
      </c>
      <c r="K8" s="109">
        <v>11</v>
      </c>
      <c r="L8" s="107">
        <v>12</v>
      </c>
      <c r="M8" s="108" t="s">
        <v>80</v>
      </c>
      <c r="N8" s="108" t="s">
        <v>80</v>
      </c>
      <c r="O8" s="105">
        <v>14</v>
      </c>
      <c r="P8" s="105">
        <v>15</v>
      </c>
      <c r="Q8" s="105">
        <v>15</v>
      </c>
      <c r="R8" s="109">
        <v>16</v>
      </c>
      <c r="S8" s="109">
        <v>17</v>
      </c>
      <c r="V8" s="91"/>
    </row>
    <row r="9" spans="1:27" ht="19.5" customHeight="1">
      <c r="A9" s="79">
        <v>1</v>
      </c>
      <c r="B9" s="92" t="s">
        <v>11</v>
      </c>
      <c r="C9" s="92">
        <v>2</v>
      </c>
      <c r="D9" s="92" t="s">
        <v>18</v>
      </c>
      <c r="E9" s="92" t="s">
        <v>26</v>
      </c>
      <c r="F9" s="92">
        <v>11</v>
      </c>
      <c r="G9" s="87" t="s">
        <v>130</v>
      </c>
      <c r="H9" s="93">
        <v>1.7</v>
      </c>
      <c r="I9" s="128">
        <v>461</v>
      </c>
      <c r="J9" s="4">
        <f>387+27</f>
        <v>414</v>
      </c>
      <c r="K9" s="17">
        <v>1.7</v>
      </c>
      <c r="L9" s="4"/>
      <c r="M9" s="114" t="s">
        <v>115</v>
      </c>
      <c r="N9" s="88" t="s">
        <v>131</v>
      </c>
      <c r="O9" s="89">
        <v>43832</v>
      </c>
      <c r="P9" s="92" t="s">
        <v>64</v>
      </c>
      <c r="Q9" s="78" t="s">
        <v>40</v>
      </c>
      <c r="R9" s="163">
        <v>47798</v>
      </c>
      <c r="S9" s="104"/>
      <c r="V9" s="91" t="s">
        <v>33</v>
      </c>
    </row>
    <row r="10" spans="1:27" ht="19.5" customHeight="1">
      <c r="A10" s="79">
        <v>2</v>
      </c>
      <c r="B10" s="92" t="s">
        <v>11</v>
      </c>
      <c r="C10" s="92">
        <v>2</v>
      </c>
      <c r="D10" s="92" t="s">
        <v>18</v>
      </c>
      <c r="E10" s="92" t="s">
        <v>26</v>
      </c>
      <c r="F10" s="92">
        <v>35</v>
      </c>
      <c r="G10" s="87" t="s">
        <v>268</v>
      </c>
      <c r="H10" s="93">
        <v>2.7</v>
      </c>
      <c r="I10" s="128">
        <v>798</v>
      </c>
      <c r="J10" s="4">
        <f>674+45</f>
        <v>719</v>
      </c>
      <c r="K10" s="93">
        <v>2.7</v>
      </c>
      <c r="L10" s="4"/>
      <c r="M10" s="114" t="s">
        <v>115</v>
      </c>
      <c r="N10" s="88" t="s">
        <v>269</v>
      </c>
      <c r="O10" s="89">
        <v>43888</v>
      </c>
      <c r="P10" s="92" t="s">
        <v>64</v>
      </c>
      <c r="Q10" s="78" t="s">
        <v>39</v>
      </c>
      <c r="R10" s="163">
        <v>117545</v>
      </c>
      <c r="S10" s="104"/>
      <c r="V10" s="91"/>
    </row>
    <row r="11" spans="1:27" ht="19.5" customHeight="1">
      <c r="A11" s="79">
        <v>3</v>
      </c>
      <c r="B11" s="92" t="s">
        <v>20</v>
      </c>
      <c r="C11" s="92">
        <v>2</v>
      </c>
      <c r="D11" s="92" t="s">
        <v>18</v>
      </c>
      <c r="E11" s="92" t="s">
        <v>26</v>
      </c>
      <c r="F11" s="92">
        <v>47</v>
      </c>
      <c r="G11" s="87" t="s">
        <v>132</v>
      </c>
      <c r="H11" s="93">
        <v>2.5</v>
      </c>
      <c r="I11" s="128">
        <v>744</v>
      </c>
      <c r="J11" s="4">
        <f>625+49</f>
        <v>674</v>
      </c>
      <c r="K11" s="93">
        <v>2.5</v>
      </c>
      <c r="L11" s="4"/>
      <c r="M11" s="114" t="s">
        <v>115</v>
      </c>
      <c r="N11" s="88" t="s">
        <v>133</v>
      </c>
      <c r="O11" s="89">
        <v>43832</v>
      </c>
      <c r="P11" s="92" t="s">
        <v>64</v>
      </c>
      <c r="Q11" s="78" t="s">
        <v>16</v>
      </c>
      <c r="R11" s="163">
        <v>130840</v>
      </c>
      <c r="S11" s="104"/>
      <c r="V11" s="91"/>
    </row>
    <row r="12" spans="1:27" ht="19.5" customHeight="1">
      <c r="A12" s="79">
        <v>4</v>
      </c>
      <c r="B12" s="92" t="s">
        <v>20</v>
      </c>
      <c r="C12" s="92">
        <v>4</v>
      </c>
      <c r="D12" s="92" t="s">
        <v>18</v>
      </c>
      <c r="E12" s="92" t="s">
        <v>26</v>
      </c>
      <c r="F12" s="92">
        <v>8</v>
      </c>
      <c r="G12" s="87" t="s">
        <v>77</v>
      </c>
      <c r="H12" s="93">
        <v>1.5</v>
      </c>
      <c r="I12" s="128">
        <v>732</v>
      </c>
      <c r="J12" s="4">
        <f>633+52</f>
        <v>685</v>
      </c>
      <c r="K12" s="93">
        <v>1.5</v>
      </c>
      <c r="L12" s="4"/>
      <c r="M12" s="114" t="s">
        <v>115</v>
      </c>
      <c r="N12" s="88" t="s">
        <v>134</v>
      </c>
      <c r="O12" s="89">
        <v>43845</v>
      </c>
      <c r="P12" s="92" t="s">
        <v>64</v>
      </c>
      <c r="Q12" s="78" t="s">
        <v>16</v>
      </c>
      <c r="R12" s="163">
        <v>166863</v>
      </c>
      <c r="S12" s="104"/>
      <c r="V12" s="91" t="s">
        <v>34</v>
      </c>
    </row>
    <row r="13" spans="1:27" ht="19.5" customHeight="1">
      <c r="A13" s="79">
        <v>5</v>
      </c>
      <c r="B13" s="92" t="s">
        <v>27</v>
      </c>
      <c r="C13" s="92">
        <v>4</v>
      </c>
      <c r="D13" s="92" t="s">
        <v>18</v>
      </c>
      <c r="E13" s="92" t="s">
        <v>26</v>
      </c>
      <c r="F13" s="92">
        <v>3</v>
      </c>
      <c r="G13" s="87" t="s">
        <v>71</v>
      </c>
      <c r="H13" s="93">
        <v>3.4</v>
      </c>
      <c r="I13" s="128">
        <v>1485</v>
      </c>
      <c r="J13" s="4">
        <f>1239+83</f>
        <v>1322</v>
      </c>
      <c r="K13" s="93">
        <v>3.4</v>
      </c>
      <c r="L13" s="4"/>
      <c r="M13" s="114" t="s">
        <v>115</v>
      </c>
      <c r="N13" s="88" t="s">
        <v>135</v>
      </c>
      <c r="O13" s="89">
        <v>43832</v>
      </c>
      <c r="P13" s="92" t="s">
        <v>62</v>
      </c>
      <c r="Q13" s="78" t="s">
        <v>53</v>
      </c>
      <c r="R13" s="163">
        <v>179253</v>
      </c>
      <c r="S13" s="104"/>
      <c r="V13" s="91" t="s">
        <v>34</v>
      </c>
    </row>
    <row r="14" spans="1:27" ht="19.5" customHeight="1">
      <c r="A14" s="79">
        <v>6</v>
      </c>
      <c r="B14" s="92" t="s">
        <v>27</v>
      </c>
      <c r="C14" s="92">
        <v>4</v>
      </c>
      <c r="D14" s="92" t="s">
        <v>18</v>
      </c>
      <c r="E14" s="92" t="s">
        <v>26</v>
      </c>
      <c r="F14" s="92">
        <v>52</v>
      </c>
      <c r="G14" s="87" t="s">
        <v>97</v>
      </c>
      <c r="H14" s="93">
        <v>2</v>
      </c>
      <c r="I14" s="128">
        <v>754</v>
      </c>
      <c r="J14" s="4">
        <f>640+52</f>
        <v>692</v>
      </c>
      <c r="K14" s="93">
        <v>2</v>
      </c>
      <c r="L14" s="4"/>
      <c r="M14" s="114" t="s">
        <v>115</v>
      </c>
      <c r="N14" s="88" t="s">
        <v>135</v>
      </c>
      <c r="O14" s="89">
        <v>43832</v>
      </c>
      <c r="P14" s="92" t="s">
        <v>62</v>
      </c>
      <c r="Q14" s="4" t="s">
        <v>34</v>
      </c>
      <c r="R14" s="163">
        <v>188868</v>
      </c>
      <c r="S14" s="104"/>
      <c r="V14" s="91" t="s">
        <v>34</v>
      </c>
    </row>
    <row r="15" spans="1:27" ht="19.5" customHeight="1">
      <c r="A15" s="79">
        <v>7</v>
      </c>
      <c r="B15" s="92" t="s">
        <v>27</v>
      </c>
      <c r="C15" s="92">
        <v>4</v>
      </c>
      <c r="D15" s="92" t="s">
        <v>18</v>
      </c>
      <c r="E15" s="92" t="s">
        <v>26</v>
      </c>
      <c r="F15" s="92">
        <v>50</v>
      </c>
      <c r="G15" s="87" t="s">
        <v>70</v>
      </c>
      <c r="H15" s="93">
        <v>3.6</v>
      </c>
      <c r="I15" s="128">
        <v>1470</v>
      </c>
      <c r="J15" s="4">
        <f>1277+89</f>
        <v>1366</v>
      </c>
      <c r="K15" s="93">
        <v>3.6</v>
      </c>
      <c r="L15" s="4"/>
      <c r="M15" s="114" t="s">
        <v>115</v>
      </c>
      <c r="N15" s="88" t="s">
        <v>135</v>
      </c>
      <c r="O15" s="89">
        <v>43832</v>
      </c>
      <c r="P15" s="92" t="s">
        <v>62</v>
      </c>
      <c r="Q15" s="78" t="s">
        <v>106</v>
      </c>
      <c r="R15" s="163">
        <v>217938</v>
      </c>
      <c r="S15" s="104"/>
      <c r="V15" s="91" t="s">
        <v>34</v>
      </c>
    </row>
    <row r="16" spans="1:27" ht="19.5" customHeight="1">
      <c r="A16" s="79">
        <v>8</v>
      </c>
      <c r="B16" s="92" t="s">
        <v>27</v>
      </c>
      <c r="C16" s="92">
        <v>4</v>
      </c>
      <c r="D16" s="92" t="s">
        <v>18</v>
      </c>
      <c r="E16" s="92" t="s">
        <v>26</v>
      </c>
      <c r="F16" s="92">
        <v>49</v>
      </c>
      <c r="G16" s="87" t="s">
        <v>270</v>
      </c>
      <c r="H16" s="93">
        <v>3.1</v>
      </c>
      <c r="I16" s="128">
        <v>1231</v>
      </c>
      <c r="J16" s="4">
        <f>1063+73</f>
        <v>1136</v>
      </c>
      <c r="K16" s="93">
        <v>3.1</v>
      </c>
      <c r="L16" s="4"/>
      <c r="M16" s="114" t="s">
        <v>115</v>
      </c>
      <c r="N16" s="88" t="s">
        <v>271</v>
      </c>
      <c r="O16" s="89">
        <v>43888</v>
      </c>
      <c r="P16" s="92" t="s">
        <v>62</v>
      </c>
      <c r="Q16" s="78" t="s">
        <v>106</v>
      </c>
      <c r="R16" s="163">
        <v>120631</v>
      </c>
      <c r="S16" s="104"/>
      <c r="V16" s="91"/>
    </row>
    <row r="17" spans="1:22" ht="19.5" customHeight="1">
      <c r="A17" s="79">
        <v>9</v>
      </c>
      <c r="B17" s="92" t="s">
        <v>25</v>
      </c>
      <c r="C17" s="92">
        <v>2</v>
      </c>
      <c r="D17" s="92" t="s">
        <v>18</v>
      </c>
      <c r="E17" s="92" t="s">
        <v>26</v>
      </c>
      <c r="F17" s="92">
        <v>53</v>
      </c>
      <c r="G17" s="87" t="s">
        <v>67</v>
      </c>
      <c r="H17" s="93">
        <v>3</v>
      </c>
      <c r="I17" s="128">
        <v>1240</v>
      </c>
      <c r="J17" s="4">
        <f>1060+87</f>
        <v>1147</v>
      </c>
      <c r="K17" s="93">
        <v>3</v>
      </c>
      <c r="L17" s="4"/>
      <c r="M17" s="114" t="s">
        <v>115</v>
      </c>
      <c r="N17" s="88" t="s">
        <v>136</v>
      </c>
      <c r="O17" s="89">
        <v>43832</v>
      </c>
      <c r="P17" s="92" t="s">
        <v>62</v>
      </c>
      <c r="Q17" s="78" t="s">
        <v>33</v>
      </c>
      <c r="R17" s="163">
        <v>406065</v>
      </c>
      <c r="S17" s="104"/>
      <c r="V17" s="91"/>
    </row>
    <row r="18" spans="1:22" ht="19.5" customHeight="1">
      <c r="A18" s="79">
        <v>10</v>
      </c>
      <c r="B18" s="92" t="s">
        <v>25</v>
      </c>
      <c r="C18" s="92">
        <v>2</v>
      </c>
      <c r="D18" s="92" t="s">
        <v>18</v>
      </c>
      <c r="E18" s="92" t="s">
        <v>26</v>
      </c>
      <c r="F18" s="92">
        <v>54</v>
      </c>
      <c r="G18" s="87" t="s">
        <v>72</v>
      </c>
      <c r="H18" s="93">
        <v>2.5</v>
      </c>
      <c r="I18" s="128">
        <v>1042</v>
      </c>
      <c r="J18" s="4">
        <f>894+74</f>
        <v>968</v>
      </c>
      <c r="K18" s="93">
        <v>2.5</v>
      </c>
      <c r="L18" s="4"/>
      <c r="M18" s="114" t="s">
        <v>115</v>
      </c>
      <c r="N18" s="88" t="s">
        <v>137</v>
      </c>
      <c r="O18" s="89">
        <v>43845</v>
      </c>
      <c r="P18" s="92" t="s">
        <v>62</v>
      </c>
      <c r="Q18" s="78" t="s">
        <v>33</v>
      </c>
      <c r="R18" s="163">
        <v>428468</v>
      </c>
      <c r="S18" s="104"/>
      <c r="V18" s="91"/>
    </row>
    <row r="19" spans="1:22" ht="19.5" customHeight="1">
      <c r="A19" s="79">
        <v>11</v>
      </c>
      <c r="B19" s="92" t="s">
        <v>25</v>
      </c>
      <c r="C19" s="92">
        <v>2</v>
      </c>
      <c r="D19" s="92" t="s">
        <v>18</v>
      </c>
      <c r="E19" s="92" t="s">
        <v>28</v>
      </c>
      <c r="F19" s="92">
        <v>44</v>
      </c>
      <c r="G19" s="87" t="s">
        <v>69</v>
      </c>
      <c r="H19" s="93">
        <v>2</v>
      </c>
      <c r="I19" s="128">
        <v>721</v>
      </c>
      <c r="J19" s="4">
        <f>633+26</f>
        <v>659</v>
      </c>
      <c r="K19" s="93">
        <v>2</v>
      </c>
      <c r="L19" s="4"/>
      <c r="M19" s="114" t="s">
        <v>115</v>
      </c>
      <c r="N19" s="88" t="s">
        <v>262</v>
      </c>
      <c r="O19" s="89">
        <v>43888</v>
      </c>
      <c r="P19" s="92" t="s">
        <v>62</v>
      </c>
      <c r="Q19" s="78" t="s">
        <v>33</v>
      </c>
      <c r="R19" s="163">
        <v>108185</v>
      </c>
      <c r="S19" s="104"/>
      <c r="V19" s="91"/>
    </row>
    <row r="20" spans="1:22" ht="19.5" customHeight="1">
      <c r="A20" s="79">
        <v>12</v>
      </c>
      <c r="B20" s="92" t="s">
        <v>9</v>
      </c>
      <c r="C20" s="92">
        <v>4</v>
      </c>
      <c r="D20" s="92" t="s">
        <v>18</v>
      </c>
      <c r="E20" s="92" t="s">
        <v>28</v>
      </c>
      <c r="F20" s="92">
        <v>47</v>
      </c>
      <c r="G20" s="87" t="s">
        <v>72</v>
      </c>
      <c r="H20" s="93">
        <v>1.6</v>
      </c>
      <c r="I20" s="128">
        <v>945</v>
      </c>
      <c r="J20" s="4">
        <f>842+24</f>
        <v>866</v>
      </c>
      <c r="K20" s="93">
        <v>1.6</v>
      </c>
      <c r="L20" s="4"/>
      <c r="M20" s="114" t="s">
        <v>115</v>
      </c>
      <c r="N20" s="88" t="s">
        <v>138</v>
      </c>
      <c r="O20" s="89">
        <v>43832</v>
      </c>
      <c r="P20" s="92" t="s">
        <v>65</v>
      </c>
      <c r="Q20" s="78" t="s">
        <v>105</v>
      </c>
      <c r="R20" s="163">
        <v>125077</v>
      </c>
      <c r="S20" s="104"/>
      <c r="V20" s="91"/>
    </row>
    <row r="21" spans="1:22" ht="19.5" customHeight="1">
      <c r="A21" s="79">
        <v>13</v>
      </c>
      <c r="B21" s="92" t="s">
        <v>9</v>
      </c>
      <c r="C21" s="92">
        <v>4</v>
      </c>
      <c r="D21" s="92" t="s">
        <v>18</v>
      </c>
      <c r="E21" s="92" t="s">
        <v>26</v>
      </c>
      <c r="F21" s="92">
        <v>58</v>
      </c>
      <c r="G21" s="87" t="s">
        <v>102</v>
      </c>
      <c r="H21" s="93">
        <v>3.5</v>
      </c>
      <c r="I21" s="123">
        <v>1133</v>
      </c>
      <c r="J21" s="123">
        <f>986+81</f>
        <v>1067</v>
      </c>
      <c r="K21" s="93">
        <v>3.5</v>
      </c>
      <c r="L21" s="4"/>
      <c r="M21" s="114" t="s">
        <v>115</v>
      </c>
      <c r="N21" s="88" t="s">
        <v>138</v>
      </c>
      <c r="O21" s="89">
        <v>43832</v>
      </c>
      <c r="P21" s="92" t="s">
        <v>65</v>
      </c>
      <c r="Q21" s="78" t="s">
        <v>105</v>
      </c>
      <c r="R21" s="163">
        <v>171367</v>
      </c>
      <c r="S21" s="104"/>
      <c r="V21" s="91" t="s">
        <v>34</v>
      </c>
    </row>
    <row r="22" spans="1:22" ht="19.5" customHeight="1">
      <c r="A22" s="79">
        <v>14</v>
      </c>
      <c r="B22" s="92" t="s">
        <v>9</v>
      </c>
      <c r="C22" s="92">
        <v>4</v>
      </c>
      <c r="D22" s="92" t="s">
        <v>18</v>
      </c>
      <c r="E22" s="92" t="s">
        <v>29</v>
      </c>
      <c r="F22" s="92">
        <v>57</v>
      </c>
      <c r="G22" s="87" t="s">
        <v>82</v>
      </c>
      <c r="H22" s="93">
        <v>3</v>
      </c>
      <c r="I22" s="123">
        <v>579</v>
      </c>
      <c r="J22" s="123">
        <f>530+17</f>
        <v>547</v>
      </c>
      <c r="K22" s="93">
        <v>3</v>
      </c>
      <c r="L22" s="4"/>
      <c r="M22" s="114" t="s">
        <v>115</v>
      </c>
      <c r="N22" s="88" t="s">
        <v>138</v>
      </c>
      <c r="O22" s="89">
        <v>43832</v>
      </c>
      <c r="P22" s="92" t="s">
        <v>65</v>
      </c>
      <c r="Q22" s="78" t="s">
        <v>105</v>
      </c>
      <c r="R22" s="163">
        <v>7427</v>
      </c>
      <c r="S22" s="104"/>
      <c r="V22" s="91"/>
    </row>
    <row r="23" spans="1:22" ht="19.5" customHeight="1">
      <c r="A23" s="79">
        <v>15</v>
      </c>
      <c r="B23" s="92" t="s">
        <v>9</v>
      </c>
      <c r="C23" s="92">
        <v>3</v>
      </c>
      <c r="D23" s="92" t="s">
        <v>18</v>
      </c>
      <c r="E23" s="92" t="s">
        <v>26</v>
      </c>
      <c r="F23" s="92">
        <v>22</v>
      </c>
      <c r="G23" s="87" t="s">
        <v>73</v>
      </c>
      <c r="H23" s="93">
        <v>1.3</v>
      </c>
      <c r="I23" s="4">
        <v>487</v>
      </c>
      <c r="J23" s="4">
        <f>420+34</f>
        <v>454</v>
      </c>
      <c r="K23" s="93">
        <v>1.3</v>
      </c>
      <c r="L23" s="4"/>
      <c r="M23" s="114" t="s">
        <v>115</v>
      </c>
      <c r="N23" s="88" t="s">
        <v>139</v>
      </c>
      <c r="O23" s="89">
        <v>43845</v>
      </c>
      <c r="P23" s="92" t="s">
        <v>65</v>
      </c>
      <c r="Q23" s="78" t="s">
        <v>105</v>
      </c>
      <c r="R23" s="163">
        <v>76870</v>
      </c>
      <c r="S23" s="104"/>
      <c r="V23" s="91"/>
    </row>
    <row r="24" spans="1:22" ht="19.5" customHeight="1">
      <c r="A24" s="79">
        <v>16</v>
      </c>
      <c r="B24" s="92" t="s">
        <v>9</v>
      </c>
      <c r="C24" s="92">
        <v>4</v>
      </c>
      <c r="D24" s="92" t="s">
        <v>18</v>
      </c>
      <c r="E24" s="121" t="s">
        <v>28</v>
      </c>
      <c r="F24" s="92">
        <v>46</v>
      </c>
      <c r="G24" s="87" t="s">
        <v>73</v>
      </c>
      <c r="H24" s="93">
        <v>2.7</v>
      </c>
      <c r="I24" s="4">
        <v>1287</v>
      </c>
      <c r="J24" s="4">
        <f>1162+23</f>
        <v>1185</v>
      </c>
      <c r="K24" s="93">
        <v>2.7</v>
      </c>
      <c r="L24" s="4"/>
      <c r="M24" s="114" t="s">
        <v>115</v>
      </c>
      <c r="N24" s="88" t="s">
        <v>139</v>
      </c>
      <c r="O24" s="89">
        <v>43845</v>
      </c>
      <c r="P24" s="92" t="s">
        <v>65</v>
      </c>
      <c r="Q24" s="78" t="s">
        <v>105</v>
      </c>
      <c r="R24" s="163">
        <v>156707</v>
      </c>
      <c r="S24" s="104"/>
      <c r="V24" s="91"/>
    </row>
    <row r="25" spans="1:22" ht="19.5" customHeight="1">
      <c r="A25" s="79">
        <v>17</v>
      </c>
      <c r="B25" s="92" t="s">
        <v>9</v>
      </c>
      <c r="C25" s="92">
        <v>4</v>
      </c>
      <c r="D25" s="92" t="s">
        <v>18</v>
      </c>
      <c r="E25" s="92" t="s">
        <v>28</v>
      </c>
      <c r="F25" s="92">
        <v>49</v>
      </c>
      <c r="G25" s="87" t="s">
        <v>72</v>
      </c>
      <c r="H25" s="93">
        <v>0.7</v>
      </c>
      <c r="I25" s="4">
        <v>311</v>
      </c>
      <c r="J25" s="4">
        <f>278+8</f>
        <v>286</v>
      </c>
      <c r="K25" s="93">
        <v>0.7</v>
      </c>
      <c r="L25" s="4"/>
      <c r="M25" s="114" t="s">
        <v>115</v>
      </c>
      <c r="N25" s="88" t="s">
        <v>139</v>
      </c>
      <c r="O25" s="89">
        <v>43845</v>
      </c>
      <c r="P25" s="92" t="s">
        <v>65</v>
      </c>
      <c r="Q25" s="78" t="s">
        <v>105</v>
      </c>
      <c r="R25" s="163">
        <v>32462</v>
      </c>
      <c r="S25" s="104"/>
      <c r="V25" s="91" t="s">
        <v>37</v>
      </c>
    </row>
    <row r="26" spans="1:22" ht="19.5" customHeight="1">
      <c r="A26" s="79">
        <v>18</v>
      </c>
      <c r="B26" s="92" t="s">
        <v>9</v>
      </c>
      <c r="C26" s="92">
        <v>4</v>
      </c>
      <c r="D26" s="92" t="s">
        <v>18</v>
      </c>
      <c r="E26" s="92" t="s">
        <v>28</v>
      </c>
      <c r="F26" s="92">
        <v>50</v>
      </c>
      <c r="G26" s="87" t="s">
        <v>264</v>
      </c>
      <c r="H26" s="93">
        <v>2.2999999999999998</v>
      </c>
      <c r="I26" s="4">
        <v>985</v>
      </c>
      <c r="J26" s="4">
        <f>874+35</f>
        <v>909</v>
      </c>
      <c r="K26" s="93">
        <v>2.2999999999999998</v>
      </c>
      <c r="L26" s="4"/>
      <c r="M26" s="114" t="s">
        <v>115</v>
      </c>
      <c r="N26" s="88" t="s">
        <v>265</v>
      </c>
      <c r="O26" s="89">
        <v>43888</v>
      </c>
      <c r="P26" s="92" t="s">
        <v>65</v>
      </c>
      <c r="Q26" s="78" t="s">
        <v>105</v>
      </c>
      <c r="R26" s="163">
        <v>135703</v>
      </c>
      <c r="S26" s="104"/>
      <c r="V26" s="91" t="s">
        <v>37</v>
      </c>
    </row>
    <row r="27" spans="1:22" ht="19.5" customHeight="1">
      <c r="A27" s="79">
        <v>19</v>
      </c>
      <c r="B27" s="92" t="s">
        <v>9</v>
      </c>
      <c r="C27" s="92">
        <v>4</v>
      </c>
      <c r="D27" s="92" t="s">
        <v>18</v>
      </c>
      <c r="E27" s="92" t="s">
        <v>28</v>
      </c>
      <c r="F27" s="92">
        <v>30</v>
      </c>
      <c r="G27" s="87" t="s">
        <v>68</v>
      </c>
      <c r="H27" s="93">
        <v>1.2</v>
      </c>
      <c r="I27" s="4">
        <v>420</v>
      </c>
      <c r="J27" s="4">
        <v>286</v>
      </c>
      <c r="K27" s="93">
        <v>1.2</v>
      </c>
      <c r="L27" s="4"/>
      <c r="M27" s="114" t="s">
        <v>115</v>
      </c>
      <c r="N27" s="88" t="s">
        <v>265</v>
      </c>
      <c r="O27" s="89">
        <v>43888</v>
      </c>
      <c r="P27" s="92" t="s">
        <v>65</v>
      </c>
      <c r="Q27" s="78" t="s">
        <v>105</v>
      </c>
      <c r="R27" s="163">
        <v>44662</v>
      </c>
      <c r="S27" s="104"/>
      <c r="V27" s="91" t="s">
        <v>37</v>
      </c>
    </row>
    <row r="28" spans="1:22" ht="19.5" customHeight="1">
      <c r="A28" s="79">
        <v>20</v>
      </c>
      <c r="B28" s="92" t="s">
        <v>10</v>
      </c>
      <c r="C28" s="92">
        <v>4</v>
      </c>
      <c r="D28" s="92" t="s">
        <v>18</v>
      </c>
      <c r="E28" s="92" t="s">
        <v>29</v>
      </c>
      <c r="F28" s="92">
        <v>10</v>
      </c>
      <c r="G28" s="87" t="s">
        <v>92</v>
      </c>
      <c r="H28" s="93">
        <v>1</v>
      </c>
      <c r="I28" s="4">
        <v>337</v>
      </c>
      <c r="J28" s="4">
        <f>298+25</f>
        <v>323</v>
      </c>
      <c r="K28" s="93">
        <v>1</v>
      </c>
      <c r="L28" s="4"/>
      <c r="M28" s="114" t="s">
        <v>115</v>
      </c>
      <c r="N28" s="88" t="s">
        <v>140</v>
      </c>
      <c r="O28" s="89">
        <v>43832</v>
      </c>
      <c r="P28" s="92" t="s">
        <v>65</v>
      </c>
      <c r="Q28" s="78" t="s">
        <v>49</v>
      </c>
      <c r="R28" s="163">
        <v>4456</v>
      </c>
      <c r="S28" s="104"/>
      <c r="V28" s="91"/>
    </row>
    <row r="29" spans="1:22" ht="19.5" customHeight="1">
      <c r="A29" s="79">
        <v>21</v>
      </c>
      <c r="B29" s="92" t="s">
        <v>10</v>
      </c>
      <c r="C29" s="92">
        <v>4</v>
      </c>
      <c r="D29" s="92" t="s">
        <v>18</v>
      </c>
      <c r="E29" s="92" t="s">
        <v>29</v>
      </c>
      <c r="F29" s="92">
        <v>122</v>
      </c>
      <c r="G29" s="87" t="s">
        <v>74</v>
      </c>
      <c r="H29" s="93">
        <v>1.1000000000000001</v>
      </c>
      <c r="I29" s="4">
        <v>381</v>
      </c>
      <c r="J29" s="4">
        <f>303+22</f>
        <v>325</v>
      </c>
      <c r="K29" s="93">
        <v>1.1000000000000001</v>
      </c>
      <c r="L29" s="4"/>
      <c r="M29" s="114" t="s">
        <v>115</v>
      </c>
      <c r="N29" s="88" t="s">
        <v>140</v>
      </c>
      <c r="O29" s="89">
        <v>43832</v>
      </c>
      <c r="P29" s="92" t="s">
        <v>65</v>
      </c>
      <c r="Q29" s="78" t="s">
        <v>50</v>
      </c>
      <c r="R29" s="163">
        <v>12090</v>
      </c>
      <c r="S29" s="104"/>
      <c r="V29" s="91" t="s">
        <v>38</v>
      </c>
    </row>
    <row r="30" spans="1:22" ht="19.5" customHeight="1">
      <c r="A30" s="79">
        <v>22</v>
      </c>
      <c r="B30" s="92" t="s">
        <v>10</v>
      </c>
      <c r="C30" s="92">
        <v>4</v>
      </c>
      <c r="D30" s="92" t="s">
        <v>18</v>
      </c>
      <c r="E30" s="92" t="s">
        <v>28</v>
      </c>
      <c r="F30" s="92">
        <v>11</v>
      </c>
      <c r="G30" s="87" t="s">
        <v>75</v>
      </c>
      <c r="H30" s="93">
        <v>1.2</v>
      </c>
      <c r="I30" s="4">
        <v>333</v>
      </c>
      <c r="J30" s="4">
        <f>293+14</f>
        <v>307</v>
      </c>
      <c r="K30" s="93">
        <v>1.2</v>
      </c>
      <c r="L30" s="4"/>
      <c r="M30" s="114" t="s">
        <v>115</v>
      </c>
      <c r="N30" s="88" t="s">
        <v>140</v>
      </c>
      <c r="O30" s="89">
        <v>43832</v>
      </c>
      <c r="P30" s="92" t="s">
        <v>65</v>
      </c>
      <c r="Q30" s="78" t="s">
        <v>49</v>
      </c>
      <c r="R30" s="163">
        <v>33849</v>
      </c>
      <c r="S30" s="104"/>
      <c r="V30" s="91" t="s">
        <v>38</v>
      </c>
    </row>
    <row r="31" spans="1:22" ht="19.5" customHeight="1">
      <c r="A31" s="79">
        <v>23</v>
      </c>
      <c r="B31" s="92" t="s">
        <v>10</v>
      </c>
      <c r="C31" s="92">
        <v>4</v>
      </c>
      <c r="D31" s="92" t="s">
        <v>18</v>
      </c>
      <c r="E31" s="92" t="s">
        <v>29</v>
      </c>
      <c r="F31" s="92">
        <v>124</v>
      </c>
      <c r="G31" s="87" t="s">
        <v>82</v>
      </c>
      <c r="H31" s="93">
        <v>1.6</v>
      </c>
      <c r="I31" s="4">
        <v>449</v>
      </c>
      <c r="J31" s="4">
        <f>367+25</f>
        <v>392</v>
      </c>
      <c r="K31" s="93">
        <v>1.6</v>
      </c>
      <c r="L31" s="4"/>
      <c r="M31" s="114" t="s">
        <v>115</v>
      </c>
      <c r="N31" s="88" t="s">
        <v>140</v>
      </c>
      <c r="O31" s="89">
        <v>43832</v>
      </c>
      <c r="P31" s="92" t="s">
        <v>65</v>
      </c>
      <c r="Q31" s="78" t="s">
        <v>50</v>
      </c>
      <c r="R31" s="163">
        <v>12176</v>
      </c>
      <c r="S31" s="104"/>
      <c r="V31" s="91"/>
    </row>
    <row r="32" spans="1:22" ht="19.5" customHeight="1">
      <c r="A32" s="79">
        <v>24</v>
      </c>
      <c r="B32" s="92" t="s">
        <v>10</v>
      </c>
      <c r="C32" s="92">
        <v>4</v>
      </c>
      <c r="D32" s="92" t="s">
        <v>18</v>
      </c>
      <c r="E32" s="92" t="s">
        <v>26</v>
      </c>
      <c r="F32" s="92">
        <v>21</v>
      </c>
      <c r="G32" s="87" t="s">
        <v>93</v>
      </c>
      <c r="H32" s="93">
        <v>0.3</v>
      </c>
      <c r="I32" s="4">
        <v>95</v>
      </c>
      <c r="J32" s="4">
        <f>85+6</f>
        <v>91</v>
      </c>
      <c r="K32" s="93">
        <v>0.3</v>
      </c>
      <c r="L32" s="4"/>
      <c r="M32" s="114" t="s">
        <v>115</v>
      </c>
      <c r="N32" s="88" t="s">
        <v>144</v>
      </c>
      <c r="O32" s="89">
        <v>43845</v>
      </c>
      <c r="P32" s="92" t="s">
        <v>65</v>
      </c>
      <c r="Q32" s="78" t="s">
        <v>48</v>
      </c>
      <c r="R32" s="163">
        <v>11909</v>
      </c>
      <c r="S32" s="104"/>
      <c r="V32" s="91"/>
    </row>
    <row r="33" spans="1:22" ht="19.5" customHeight="1">
      <c r="A33" s="79">
        <v>25</v>
      </c>
      <c r="B33" s="92" t="s">
        <v>10</v>
      </c>
      <c r="C33" s="92">
        <v>4</v>
      </c>
      <c r="D33" s="92" t="s">
        <v>18</v>
      </c>
      <c r="E33" s="92" t="s">
        <v>26</v>
      </c>
      <c r="F33" s="92">
        <v>22</v>
      </c>
      <c r="G33" s="87" t="s">
        <v>86</v>
      </c>
      <c r="H33" s="93">
        <v>0.5</v>
      </c>
      <c r="I33" s="4">
        <v>190</v>
      </c>
      <c r="J33" s="4">
        <f>164+14</f>
        <v>178</v>
      </c>
      <c r="K33" s="93">
        <v>0.5</v>
      </c>
      <c r="L33" s="4"/>
      <c r="M33" s="114" t="s">
        <v>115</v>
      </c>
      <c r="N33" s="88" t="s">
        <v>144</v>
      </c>
      <c r="O33" s="89">
        <v>43845</v>
      </c>
      <c r="P33" s="92" t="s">
        <v>65</v>
      </c>
      <c r="Q33" s="78" t="s">
        <v>48</v>
      </c>
      <c r="R33" s="163">
        <v>24194</v>
      </c>
      <c r="S33" s="104"/>
      <c r="V33" s="91"/>
    </row>
    <row r="34" spans="1:22" ht="19.5" customHeight="1">
      <c r="A34" s="79">
        <v>26</v>
      </c>
      <c r="B34" s="92" t="s">
        <v>10</v>
      </c>
      <c r="C34" s="92">
        <v>4</v>
      </c>
      <c r="D34" s="92" t="s">
        <v>18</v>
      </c>
      <c r="E34" s="92" t="s">
        <v>26</v>
      </c>
      <c r="F34" s="92">
        <v>32</v>
      </c>
      <c r="G34" s="87" t="s">
        <v>71</v>
      </c>
      <c r="H34" s="93">
        <v>0.9</v>
      </c>
      <c r="I34" s="4">
        <v>301</v>
      </c>
      <c r="J34" s="4">
        <f>262+26</f>
        <v>288</v>
      </c>
      <c r="K34" s="93">
        <v>0.9</v>
      </c>
      <c r="L34" s="4"/>
      <c r="M34" s="114" t="s">
        <v>115</v>
      </c>
      <c r="N34" s="88" t="s">
        <v>144</v>
      </c>
      <c r="O34" s="89">
        <v>43845</v>
      </c>
      <c r="P34" s="92" t="s">
        <v>65</v>
      </c>
      <c r="Q34" s="78" t="s">
        <v>47</v>
      </c>
      <c r="R34" s="163">
        <v>57797</v>
      </c>
      <c r="S34" s="104"/>
      <c r="V34" s="91"/>
    </row>
    <row r="35" spans="1:22" ht="19.5" customHeight="1">
      <c r="A35" s="79">
        <v>27</v>
      </c>
      <c r="B35" s="92" t="s">
        <v>10</v>
      </c>
      <c r="C35" s="92">
        <v>4</v>
      </c>
      <c r="D35" s="92" t="s">
        <v>18</v>
      </c>
      <c r="E35" s="92" t="s">
        <v>28</v>
      </c>
      <c r="F35" s="92">
        <v>4</v>
      </c>
      <c r="G35" s="87" t="s">
        <v>72</v>
      </c>
      <c r="H35" s="93">
        <v>1.2</v>
      </c>
      <c r="I35" s="4">
        <v>638</v>
      </c>
      <c r="J35" s="4">
        <f>569+17</f>
        <v>586</v>
      </c>
      <c r="K35" s="93">
        <v>1.2</v>
      </c>
      <c r="L35" s="4"/>
      <c r="M35" s="114" t="s">
        <v>115</v>
      </c>
      <c r="N35" s="88" t="s">
        <v>266</v>
      </c>
      <c r="O35" s="89">
        <v>43888</v>
      </c>
      <c r="P35" s="92" t="s">
        <v>65</v>
      </c>
      <c r="Q35" s="78" t="s">
        <v>47</v>
      </c>
      <c r="R35" s="163">
        <v>80089</v>
      </c>
      <c r="S35" s="104"/>
      <c r="V35" s="91"/>
    </row>
    <row r="36" spans="1:22" ht="19.5" customHeight="1">
      <c r="A36" s="79">
        <v>28</v>
      </c>
      <c r="B36" s="92" t="s">
        <v>10</v>
      </c>
      <c r="C36" s="92">
        <v>4</v>
      </c>
      <c r="D36" s="92" t="s">
        <v>18</v>
      </c>
      <c r="E36" s="92" t="s">
        <v>26</v>
      </c>
      <c r="F36" s="92">
        <v>7</v>
      </c>
      <c r="G36" s="87" t="s">
        <v>68</v>
      </c>
      <c r="H36" s="93">
        <v>0.3</v>
      </c>
      <c r="I36" s="4">
        <v>159</v>
      </c>
      <c r="J36" s="4">
        <v>145</v>
      </c>
      <c r="K36" s="93">
        <v>0.3</v>
      </c>
      <c r="L36" s="4"/>
      <c r="M36" s="114" t="s">
        <v>115</v>
      </c>
      <c r="N36" s="88" t="s">
        <v>266</v>
      </c>
      <c r="O36" s="89">
        <v>43888</v>
      </c>
      <c r="P36" s="92" t="s">
        <v>65</v>
      </c>
      <c r="Q36" s="78" t="s">
        <v>47</v>
      </c>
      <c r="R36" s="163">
        <v>8735</v>
      </c>
      <c r="S36" s="104"/>
      <c r="V36" s="91"/>
    </row>
    <row r="37" spans="1:22" ht="19.5" customHeight="1">
      <c r="A37" s="79">
        <v>29</v>
      </c>
      <c r="B37" s="92" t="s">
        <v>10</v>
      </c>
      <c r="C37" s="92">
        <v>4</v>
      </c>
      <c r="D37" s="92" t="s">
        <v>18</v>
      </c>
      <c r="E37" s="92" t="s">
        <v>28</v>
      </c>
      <c r="F37" s="92">
        <v>34</v>
      </c>
      <c r="G37" s="87" t="s">
        <v>101</v>
      </c>
      <c r="H37" s="93">
        <v>2.4</v>
      </c>
      <c r="I37" s="4">
        <v>1190</v>
      </c>
      <c r="J37" s="4">
        <f>1056+37</f>
        <v>1093</v>
      </c>
      <c r="K37" s="93">
        <v>2.4</v>
      </c>
      <c r="L37" s="4"/>
      <c r="M37" s="114" t="s">
        <v>115</v>
      </c>
      <c r="N37" s="88" t="s">
        <v>266</v>
      </c>
      <c r="O37" s="89">
        <v>43888</v>
      </c>
      <c r="P37" s="92" t="s">
        <v>65</v>
      </c>
      <c r="Q37" s="78" t="s">
        <v>47</v>
      </c>
      <c r="R37" s="163">
        <v>116909</v>
      </c>
      <c r="S37" s="104"/>
      <c r="V37" s="91"/>
    </row>
    <row r="38" spans="1:22" ht="19.5" customHeight="1">
      <c r="A38" s="79">
        <v>30</v>
      </c>
      <c r="B38" s="92" t="s">
        <v>10</v>
      </c>
      <c r="C38" s="92">
        <v>4</v>
      </c>
      <c r="D38" s="92" t="s">
        <v>18</v>
      </c>
      <c r="E38" s="92" t="s">
        <v>26</v>
      </c>
      <c r="F38" s="92">
        <v>37</v>
      </c>
      <c r="G38" s="87" t="s">
        <v>89</v>
      </c>
      <c r="H38" s="93">
        <v>0.3</v>
      </c>
      <c r="I38" s="4">
        <v>152</v>
      </c>
      <c r="J38" s="4">
        <v>139</v>
      </c>
      <c r="K38" s="93">
        <v>0.3</v>
      </c>
      <c r="L38" s="4"/>
      <c r="M38" s="114" t="s">
        <v>115</v>
      </c>
      <c r="N38" s="88" t="s">
        <v>266</v>
      </c>
      <c r="O38" s="89">
        <v>43888</v>
      </c>
      <c r="P38" s="92" t="s">
        <v>65</v>
      </c>
      <c r="Q38" s="78" t="s">
        <v>47</v>
      </c>
      <c r="R38" s="163">
        <v>15068</v>
      </c>
      <c r="S38" s="104"/>
      <c r="V38" s="91"/>
    </row>
    <row r="39" spans="1:22" ht="19.5" customHeight="1">
      <c r="A39" s="79">
        <v>31</v>
      </c>
      <c r="B39" s="92" t="s">
        <v>21</v>
      </c>
      <c r="C39" s="92">
        <v>2</v>
      </c>
      <c r="D39" s="92" t="s">
        <v>18</v>
      </c>
      <c r="E39" s="92" t="s">
        <v>26</v>
      </c>
      <c r="F39" s="92">
        <v>104</v>
      </c>
      <c r="G39" s="87" t="s">
        <v>81</v>
      </c>
      <c r="H39" s="93">
        <v>2</v>
      </c>
      <c r="I39" s="4">
        <v>659</v>
      </c>
      <c r="J39" s="4">
        <f>561+46</f>
        <v>607</v>
      </c>
      <c r="K39" s="93">
        <v>2</v>
      </c>
      <c r="L39" s="4"/>
      <c r="M39" s="114" t="s">
        <v>115</v>
      </c>
      <c r="N39" s="88" t="s">
        <v>141</v>
      </c>
      <c r="O39" s="89">
        <v>43832</v>
      </c>
      <c r="P39" s="92" t="s">
        <v>64</v>
      </c>
      <c r="Q39" s="78" t="s">
        <v>43</v>
      </c>
      <c r="R39" s="163">
        <v>53970</v>
      </c>
      <c r="S39" s="104"/>
      <c r="V39" s="91"/>
    </row>
    <row r="40" spans="1:22" ht="19.5" customHeight="1">
      <c r="A40" s="79">
        <v>32</v>
      </c>
      <c r="B40" s="92" t="s">
        <v>21</v>
      </c>
      <c r="C40" s="92">
        <v>2</v>
      </c>
      <c r="D40" s="92" t="s">
        <v>18</v>
      </c>
      <c r="E40" s="92" t="s">
        <v>26</v>
      </c>
      <c r="F40" s="92">
        <v>97</v>
      </c>
      <c r="G40" s="87" t="s">
        <v>79</v>
      </c>
      <c r="H40" s="93">
        <v>3</v>
      </c>
      <c r="I40" s="4">
        <v>1123</v>
      </c>
      <c r="J40" s="4">
        <f>965+63</f>
        <v>1028</v>
      </c>
      <c r="K40" s="93">
        <v>3</v>
      </c>
      <c r="L40" s="4"/>
      <c r="M40" s="114" t="s">
        <v>115</v>
      </c>
      <c r="N40" s="88" t="s">
        <v>274</v>
      </c>
      <c r="O40" s="89">
        <v>43888</v>
      </c>
      <c r="P40" s="92" t="s">
        <v>64</v>
      </c>
      <c r="Q40" s="78" t="s">
        <v>43</v>
      </c>
      <c r="R40" s="163">
        <v>99667</v>
      </c>
      <c r="S40" s="104"/>
      <c r="V40" s="91"/>
    </row>
    <row r="41" spans="1:22" ht="19.5" customHeight="1">
      <c r="A41" s="79">
        <v>33</v>
      </c>
      <c r="B41" s="92" t="s">
        <v>12</v>
      </c>
      <c r="C41" s="92">
        <v>2</v>
      </c>
      <c r="D41" s="92" t="s">
        <v>18</v>
      </c>
      <c r="E41" s="92" t="s">
        <v>26</v>
      </c>
      <c r="F41" s="92">
        <v>15</v>
      </c>
      <c r="G41" s="87" t="s">
        <v>74</v>
      </c>
      <c r="H41" s="93">
        <v>1.9</v>
      </c>
      <c r="I41" s="4">
        <v>733</v>
      </c>
      <c r="J41" s="4">
        <f>616+41</f>
        <v>657</v>
      </c>
      <c r="K41" s="93">
        <v>1.9</v>
      </c>
      <c r="L41" s="4"/>
      <c r="M41" s="114" t="s">
        <v>115</v>
      </c>
      <c r="N41" s="88" t="s">
        <v>142</v>
      </c>
      <c r="O41" s="89">
        <v>43832</v>
      </c>
      <c r="P41" s="92" t="s">
        <v>64</v>
      </c>
      <c r="Q41" s="78" t="s">
        <v>42</v>
      </c>
      <c r="R41" s="163">
        <v>45664</v>
      </c>
      <c r="S41" s="104"/>
      <c r="V41" s="91" t="s">
        <v>40</v>
      </c>
    </row>
    <row r="42" spans="1:22" ht="19.5" customHeight="1">
      <c r="A42" s="79">
        <v>34</v>
      </c>
      <c r="B42" s="92" t="s">
        <v>12</v>
      </c>
      <c r="C42" s="92">
        <v>2</v>
      </c>
      <c r="D42" s="92" t="s">
        <v>18</v>
      </c>
      <c r="E42" s="92" t="s">
        <v>26</v>
      </c>
      <c r="F42" s="92">
        <v>34</v>
      </c>
      <c r="G42" s="87" t="s">
        <v>89</v>
      </c>
      <c r="H42" s="93">
        <v>1.9</v>
      </c>
      <c r="I42" s="4">
        <v>773</v>
      </c>
      <c r="J42" s="4">
        <f>665+46</f>
        <v>711</v>
      </c>
      <c r="K42" s="93">
        <v>1.9</v>
      </c>
      <c r="L42" s="4"/>
      <c r="M42" s="114" t="s">
        <v>115</v>
      </c>
      <c r="N42" s="88" t="s">
        <v>147</v>
      </c>
      <c r="O42" s="89">
        <v>43845</v>
      </c>
      <c r="P42" s="92" t="s">
        <v>64</v>
      </c>
      <c r="Q42" s="78" t="s">
        <v>42</v>
      </c>
      <c r="R42" s="163">
        <v>109424</v>
      </c>
      <c r="S42" s="104"/>
      <c r="V42" s="91" t="s">
        <v>41</v>
      </c>
    </row>
    <row r="43" spans="1:22" ht="19.5" customHeight="1">
      <c r="A43" s="79">
        <v>35</v>
      </c>
      <c r="B43" s="92" t="s">
        <v>8</v>
      </c>
      <c r="C43" s="92">
        <v>4</v>
      </c>
      <c r="D43" s="92" t="s">
        <v>18</v>
      </c>
      <c r="E43" s="92" t="s">
        <v>26</v>
      </c>
      <c r="F43" s="92">
        <v>72</v>
      </c>
      <c r="G43" s="87" t="s">
        <v>98</v>
      </c>
      <c r="H43" s="93">
        <v>3.7</v>
      </c>
      <c r="I43" s="4">
        <v>833</v>
      </c>
      <c r="J43" s="4">
        <f>696+24</f>
        <v>720</v>
      </c>
      <c r="K43" s="93">
        <v>3.7</v>
      </c>
      <c r="L43" s="4"/>
      <c r="M43" s="114" t="s">
        <v>115</v>
      </c>
      <c r="N43" s="88" t="s">
        <v>143</v>
      </c>
      <c r="O43" s="89">
        <v>43832</v>
      </c>
      <c r="P43" s="92" t="s">
        <v>63</v>
      </c>
      <c r="Q43" s="78" t="s">
        <v>36</v>
      </c>
      <c r="R43" s="163">
        <v>31699</v>
      </c>
      <c r="S43" s="104"/>
      <c r="V43" s="91" t="s">
        <v>39</v>
      </c>
    </row>
    <row r="44" spans="1:22" ht="19.5" customHeight="1">
      <c r="A44" s="79">
        <v>36</v>
      </c>
      <c r="B44" s="92" t="s">
        <v>8</v>
      </c>
      <c r="C44" s="92">
        <v>4</v>
      </c>
      <c r="D44" s="92" t="s">
        <v>18</v>
      </c>
      <c r="E44" s="92" t="s">
        <v>29</v>
      </c>
      <c r="F44" s="92">
        <v>75</v>
      </c>
      <c r="G44" s="87" t="s">
        <v>72</v>
      </c>
      <c r="H44" s="93">
        <v>0.4</v>
      </c>
      <c r="I44" s="4">
        <v>108</v>
      </c>
      <c r="J44" s="4">
        <f>80+5</f>
        <v>85</v>
      </c>
      <c r="K44" s="93">
        <v>0.4</v>
      </c>
      <c r="L44" s="4"/>
      <c r="M44" s="114" t="s">
        <v>115</v>
      </c>
      <c r="N44" s="88" t="s">
        <v>143</v>
      </c>
      <c r="O44" s="89">
        <v>43832</v>
      </c>
      <c r="P44" s="92" t="s">
        <v>63</v>
      </c>
      <c r="Q44" s="78" t="s">
        <v>36</v>
      </c>
      <c r="R44" s="163">
        <v>3886</v>
      </c>
      <c r="S44" s="104"/>
      <c r="V44" s="91"/>
    </row>
    <row r="45" spans="1:22" ht="19.5" customHeight="1">
      <c r="A45" s="79">
        <v>37</v>
      </c>
      <c r="B45" s="92" t="s">
        <v>30</v>
      </c>
      <c r="C45" s="92">
        <v>4</v>
      </c>
      <c r="D45" s="92" t="s">
        <v>18</v>
      </c>
      <c r="E45" s="92" t="s">
        <v>26</v>
      </c>
      <c r="F45" s="92">
        <v>56</v>
      </c>
      <c r="G45" s="87" t="s">
        <v>79</v>
      </c>
      <c r="H45" s="93">
        <v>1.2</v>
      </c>
      <c r="I45" s="4">
        <v>344</v>
      </c>
      <c r="J45" s="4">
        <f>299+27</f>
        <v>326</v>
      </c>
      <c r="K45" s="93">
        <v>1.2</v>
      </c>
      <c r="L45" s="4"/>
      <c r="M45" s="114" t="s">
        <v>115</v>
      </c>
      <c r="N45" s="88" t="s">
        <v>148</v>
      </c>
      <c r="O45" s="89">
        <v>43832</v>
      </c>
      <c r="P45" s="92" t="s">
        <v>65</v>
      </c>
      <c r="Q45" s="78" t="s">
        <v>49</v>
      </c>
      <c r="R45" s="163">
        <v>53413</v>
      </c>
      <c r="S45" s="104"/>
      <c r="V45" s="91" t="s">
        <v>42</v>
      </c>
    </row>
    <row r="46" spans="1:22" ht="19.5" customHeight="1">
      <c r="A46" s="79">
        <v>38</v>
      </c>
      <c r="B46" s="92" t="s">
        <v>30</v>
      </c>
      <c r="C46" s="92">
        <v>4</v>
      </c>
      <c r="D46" s="92" t="s">
        <v>18</v>
      </c>
      <c r="E46" s="92" t="s">
        <v>26</v>
      </c>
      <c r="F46" s="92">
        <v>82</v>
      </c>
      <c r="G46" s="87" t="s">
        <v>70</v>
      </c>
      <c r="H46" s="93">
        <v>4.3</v>
      </c>
      <c r="I46" s="4">
        <v>1352</v>
      </c>
      <c r="J46" s="4">
        <f>1184+92</f>
        <v>1276</v>
      </c>
      <c r="K46" s="93">
        <v>4.3</v>
      </c>
      <c r="L46" s="4"/>
      <c r="M46" s="114" t="s">
        <v>115</v>
      </c>
      <c r="N46" s="88" t="s">
        <v>148</v>
      </c>
      <c r="O46" s="89">
        <v>43832</v>
      </c>
      <c r="P46" s="92" t="s">
        <v>65</v>
      </c>
      <c r="Q46" s="78" t="s">
        <v>48</v>
      </c>
      <c r="R46" s="163">
        <v>182290</v>
      </c>
      <c r="S46" s="104"/>
      <c r="V46" s="91" t="s">
        <v>42</v>
      </c>
    </row>
    <row r="47" spans="1:22" ht="19.5" customHeight="1">
      <c r="A47" s="79">
        <v>39</v>
      </c>
      <c r="B47" s="92" t="s">
        <v>30</v>
      </c>
      <c r="C47" s="92">
        <v>4</v>
      </c>
      <c r="D47" s="92" t="s">
        <v>18</v>
      </c>
      <c r="E47" s="92" t="s">
        <v>26</v>
      </c>
      <c r="F47" s="92">
        <v>107</v>
      </c>
      <c r="G47" s="87" t="s">
        <v>73</v>
      </c>
      <c r="H47" s="93">
        <v>3.1</v>
      </c>
      <c r="I47" s="4">
        <v>1145</v>
      </c>
      <c r="J47" s="4">
        <f>984+96</f>
        <v>1080</v>
      </c>
      <c r="K47" s="93">
        <v>3.1</v>
      </c>
      <c r="L47" s="4"/>
      <c r="M47" s="114" t="s">
        <v>115</v>
      </c>
      <c r="N47" s="88" t="s">
        <v>148</v>
      </c>
      <c r="O47" s="89">
        <v>43832</v>
      </c>
      <c r="P47" s="92" t="s">
        <v>65</v>
      </c>
      <c r="Q47" s="78" t="s">
        <v>48</v>
      </c>
      <c r="R47" s="163">
        <v>325839</v>
      </c>
      <c r="S47" s="104"/>
      <c r="V47" s="91"/>
    </row>
    <row r="48" spans="1:22" ht="19.5" customHeight="1">
      <c r="A48" s="79">
        <v>40</v>
      </c>
      <c r="B48" s="92" t="s">
        <v>30</v>
      </c>
      <c r="C48" s="92">
        <v>4</v>
      </c>
      <c r="D48" s="92" t="s">
        <v>18</v>
      </c>
      <c r="E48" s="92" t="s">
        <v>28</v>
      </c>
      <c r="F48" s="92">
        <v>66</v>
      </c>
      <c r="G48" s="87" t="s">
        <v>92</v>
      </c>
      <c r="H48" s="93">
        <v>0.5</v>
      </c>
      <c r="I48" s="4">
        <v>223</v>
      </c>
      <c r="J48" s="4">
        <v>190</v>
      </c>
      <c r="K48" s="93">
        <v>0.5</v>
      </c>
      <c r="L48" s="4"/>
      <c r="M48" s="114" t="s">
        <v>115</v>
      </c>
      <c r="N48" s="88" t="s">
        <v>267</v>
      </c>
      <c r="O48" s="89">
        <v>43888</v>
      </c>
      <c r="P48" s="92" t="s">
        <v>65</v>
      </c>
      <c r="Q48" s="78" t="s">
        <v>48</v>
      </c>
      <c r="R48" s="163">
        <v>18929</v>
      </c>
      <c r="S48" s="104"/>
      <c r="V48" s="91"/>
    </row>
    <row r="49" spans="1:27" s="73" customFormat="1" ht="19.5" customHeight="1">
      <c r="A49" s="79">
        <v>41</v>
      </c>
      <c r="B49" s="92" t="s">
        <v>7</v>
      </c>
      <c r="C49" s="92">
        <v>4</v>
      </c>
      <c r="D49" s="92" t="s">
        <v>18</v>
      </c>
      <c r="E49" s="92" t="s">
        <v>26</v>
      </c>
      <c r="F49" s="92">
        <v>71</v>
      </c>
      <c r="G49" s="87" t="s">
        <v>85</v>
      </c>
      <c r="H49" s="93">
        <v>3.2</v>
      </c>
      <c r="I49" s="4">
        <v>797</v>
      </c>
      <c r="J49" s="4">
        <f>566+44</f>
        <v>610</v>
      </c>
      <c r="K49" s="93">
        <v>3.2</v>
      </c>
      <c r="L49" s="4"/>
      <c r="M49" s="114" t="s">
        <v>115</v>
      </c>
      <c r="N49" s="88" t="s">
        <v>149</v>
      </c>
      <c r="O49" s="89">
        <v>43832</v>
      </c>
      <c r="P49" s="92" t="s">
        <v>65</v>
      </c>
      <c r="Q49" s="78" t="s">
        <v>105</v>
      </c>
      <c r="R49" s="163">
        <v>67852</v>
      </c>
      <c r="S49" s="104"/>
      <c r="T49" s="22"/>
      <c r="U49" s="22"/>
      <c r="V49" s="91"/>
      <c r="X49"/>
      <c r="Y49" s="69"/>
      <c r="Z49"/>
      <c r="AA49" s="33"/>
    </row>
    <row r="50" spans="1:27" s="73" customFormat="1" ht="19.5" customHeight="1">
      <c r="A50" s="79">
        <v>42</v>
      </c>
      <c r="B50" s="92" t="s">
        <v>7</v>
      </c>
      <c r="C50" s="92">
        <v>4</v>
      </c>
      <c r="D50" s="92" t="s">
        <v>18</v>
      </c>
      <c r="E50" s="92" t="s">
        <v>26</v>
      </c>
      <c r="F50" s="92">
        <v>69</v>
      </c>
      <c r="G50" s="87" t="s">
        <v>272</v>
      </c>
      <c r="H50" s="93">
        <v>2.2999999999999998</v>
      </c>
      <c r="I50" s="4">
        <v>485</v>
      </c>
      <c r="J50" s="4">
        <f>417+35</f>
        <v>452</v>
      </c>
      <c r="K50" s="93">
        <v>2.2999999999999998</v>
      </c>
      <c r="L50" s="4"/>
      <c r="M50" s="114" t="s">
        <v>115</v>
      </c>
      <c r="N50" s="88" t="s">
        <v>273</v>
      </c>
      <c r="O50" s="89">
        <v>43888</v>
      </c>
      <c r="P50" s="92" t="s">
        <v>65</v>
      </c>
      <c r="Q50" s="78" t="s">
        <v>105</v>
      </c>
      <c r="R50" s="163">
        <v>67294</v>
      </c>
      <c r="S50" s="104"/>
      <c r="T50" s="22"/>
      <c r="U50" s="22"/>
      <c r="V50" s="91"/>
      <c r="X50"/>
      <c r="Y50" s="69"/>
      <c r="Z50"/>
      <c r="AA50" s="33"/>
    </row>
    <row r="51" spans="1:27" s="73" customFormat="1" ht="19.5" customHeight="1">
      <c r="A51" s="79">
        <v>43</v>
      </c>
      <c r="B51" s="92" t="s">
        <v>6</v>
      </c>
      <c r="C51" s="92">
        <v>4</v>
      </c>
      <c r="D51" s="92" t="s">
        <v>18</v>
      </c>
      <c r="E51" s="92" t="s">
        <v>26</v>
      </c>
      <c r="F51" s="92">
        <v>18</v>
      </c>
      <c r="G51" s="87" t="s">
        <v>83</v>
      </c>
      <c r="H51" s="93">
        <v>2.2999999999999998</v>
      </c>
      <c r="I51" s="4">
        <v>833</v>
      </c>
      <c r="J51" s="4">
        <f>628+52</f>
        <v>680</v>
      </c>
      <c r="K51" s="93">
        <v>2.2999999999999998</v>
      </c>
      <c r="L51" s="4"/>
      <c r="M51" s="114" t="s">
        <v>115</v>
      </c>
      <c r="N51" s="88" t="s">
        <v>150</v>
      </c>
      <c r="O51" s="89">
        <v>43832</v>
      </c>
      <c r="P51" s="92" t="s">
        <v>62</v>
      </c>
      <c r="Q51" s="78" t="s">
        <v>33</v>
      </c>
      <c r="R51" s="163">
        <v>111153</v>
      </c>
      <c r="S51" s="104"/>
      <c r="T51" s="22"/>
      <c r="U51" s="22"/>
      <c r="V51" s="91"/>
      <c r="X51"/>
      <c r="Y51" s="69"/>
      <c r="Z51"/>
      <c r="AA51" s="33"/>
    </row>
    <row r="52" spans="1:27" s="73" customFormat="1" ht="19.5" customHeight="1">
      <c r="A52" s="79">
        <v>44</v>
      </c>
      <c r="B52" s="92" t="s">
        <v>6</v>
      </c>
      <c r="C52" s="92">
        <v>4</v>
      </c>
      <c r="D52" s="92" t="s">
        <v>18</v>
      </c>
      <c r="E52" s="92" t="s">
        <v>26</v>
      </c>
      <c r="F52" s="92">
        <v>19</v>
      </c>
      <c r="G52" s="87" t="s">
        <v>75</v>
      </c>
      <c r="H52" s="93">
        <v>3</v>
      </c>
      <c r="I52" s="4">
        <v>1083</v>
      </c>
      <c r="J52" s="4">
        <f>933+84</f>
        <v>1017</v>
      </c>
      <c r="K52" s="93">
        <v>3</v>
      </c>
      <c r="L52" s="4"/>
      <c r="M52" s="114" t="s">
        <v>115</v>
      </c>
      <c r="N52" s="88" t="s">
        <v>263</v>
      </c>
      <c r="O52" s="89">
        <v>43888</v>
      </c>
      <c r="P52" s="92" t="s">
        <v>62</v>
      </c>
      <c r="Q52" s="78" t="s">
        <v>33</v>
      </c>
      <c r="R52" s="163">
        <v>186360</v>
      </c>
      <c r="S52" s="104"/>
      <c r="T52" s="22"/>
      <c r="U52" s="22"/>
      <c r="V52" s="91"/>
      <c r="X52"/>
      <c r="Y52" s="69"/>
      <c r="Z52"/>
      <c r="AA52" s="33"/>
    </row>
    <row r="53" spans="1:27" s="73" customFormat="1" ht="19.5" customHeight="1">
      <c r="A53" s="79"/>
      <c r="B53" s="92"/>
      <c r="C53" s="92"/>
      <c r="D53" s="92"/>
      <c r="E53" s="92"/>
      <c r="F53" s="92"/>
      <c r="G53" s="87"/>
      <c r="H53" s="93"/>
      <c r="I53" s="163">
        <f>SUM(I9:I52)</f>
        <v>31541</v>
      </c>
      <c r="J53" s="163">
        <f>SUM(J9:J52)</f>
        <v>28688</v>
      </c>
      <c r="K53" s="163">
        <f>SUM(K9:K52)</f>
        <v>87.9</v>
      </c>
      <c r="L53" s="163"/>
      <c r="M53" s="163"/>
      <c r="N53" s="163"/>
      <c r="O53" s="163"/>
      <c r="P53" s="163"/>
      <c r="Q53" s="163"/>
      <c r="R53" s="163">
        <f>SUM(R9:R52)</f>
        <v>4597441</v>
      </c>
      <c r="S53" s="104"/>
      <c r="T53" s="22"/>
      <c r="U53" s="22"/>
      <c r="V53" s="91"/>
      <c r="X53"/>
      <c r="Y53" s="69"/>
      <c r="Z53"/>
      <c r="AA53" s="33"/>
    </row>
    <row r="54" spans="1:27" s="73" customFormat="1" ht="19.5" customHeight="1">
      <c r="A54" s="79"/>
      <c r="B54" s="92"/>
      <c r="C54" s="92"/>
      <c r="D54" s="92"/>
      <c r="E54" s="92"/>
      <c r="F54" s="92"/>
      <c r="G54" s="87"/>
      <c r="H54" s="93"/>
      <c r="I54" s="163"/>
      <c r="J54" s="163">
        <f>J42+J41+J40+J39+J12+J11+J10+J9</f>
        <v>5495</v>
      </c>
      <c r="K54" s="172"/>
      <c r="L54" s="163"/>
      <c r="M54" s="172"/>
      <c r="N54" s="172"/>
      <c r="O54" s="172"/>
      <c r="P54" s="172" t="s">
        <v>64</v>
      </c>
      <c r="Q54" s="163"/>
      <c r="R54" s="163">
        <f>R42+R41+R40+R39+R12+R11+R10+R9</f>
        <v>771771</v>
      </c>
      <c r="S54" s="104"/>
      <c r="T54" s="22"/>
      <c r="U54" s="22"/>
      <c r="V54" s="91"/>
      <c r="X54"/>
      <c r="Y54" s="69"/>
      <c r="Z54"/>
      <c r="AA54" s="33"/>
    </row>
    <row r="55" spans="1:27" s="73" customFormat="1" ht="19.5" customHeight="1">
      <c r="A55" s="79"/>
      <c r="B55" s="92"/>
      <c r="C55" s="92"/>
      <c r="D55" s="92"/>
      <c r="E55" s="92"/>
      <c r="F55" s="92"/>
      <c r="G55" s="87"/>
      <c r="H55" s="93"/>
      <c r="I55" s="163"/>
      <c r="J55" s="163">
        <f>J50+J49+J48+J47+J46+J45+J38+J37+J36+J35+J34+J33+J32+J31+J30+J29+J28+J27+J26+J25+J24+J23+J22+J21+J20</f>
        <v>13401</v>
      </c>
      <c r="K55" s="172"/>
      <c r="L55" s="163"/>
      <c r="M55" s="172"/>
      <c r="N55" s="172"/>
      <c r="O55" s="172"/>
      <c r="P55" s="172" t="s">
        <v>65</v>
      </c>
      <c r="Q55" s="163"/>
      <c r="R55" s="163">
        <f>R50+R49+R48+R47+R46+R45+R38+R37+R36+R35+R34+R33+R32+R31+R30+R29+R28+R27+R26+R25+R24+R23+R22+R21+R20</f>
        <v>1843164</v>
      </c>
      <c r="S55" s="104"/>
      <c r="T55" s="22"/>
      <c r="U55" s="22"/>
      <c r="V55" s="91"/>
      <c r="X55"/>
      <c r="Y55" s="69"/>
      <c r="Z55"/>
      <c r="AA55" s="33"/>
    </row>
    <row r="56" spans="1:27" s="73" customFormat="1" ht="19.5" customHeight="1">
      <c r="A56" s="79"/>
      <c r="B56" s="92"/>
      <c r="C56" s="92"/>
      <c r="D56" s="92"/>
      <c r="E56" s="92"/>
      <c r="F56" s="92"/>
      <c r="G56" s="87"/>
      <c r="H56" s="93"/>
      <c r="I56" s="163"/>
      <c r="J56" s="163">
        <f>J52+J51+J19+J18+J17+J16+J15+J14+J13</f>
        <v>8987</v>
      </c>
      <c r="K56" s="172"/>
      <c r="L56" s="163"/>
      <c r="M56" s="172"/>
      <c r="N56" s="172"/>
      <c r="O56" s="172"/>
      <c r="P56" s="172" t="s">
        <v>62</v>
      </c>
      <c r="Q56" s="163"/>
      <c r="R56" s="163">
        <f>R52+R51+R19+R18+R17+R16+R15+R14+R13</f>
        <v>1946921</v>
      </c>
      <c r="S56" s="104"/>
      <c r="T56" s="22"/>
      <c r="U56" s="22"/>
      <c r="V56" s="91"/>
      <c r="X56"/>
      <c r="Y56" s="69"/>
      <c r="Z56"/>
      <c r="AA56" s="33"/>
    </row>
    <row r="57" spans="1:27" s="73" customFormat="1" ht="19.5" customHeight="1">
      <c r="A57" s="79"/>
      <c r="B57" s="92"/>
      <c r="C57" s="92"/>
      <c r="D57" s="92"/>
      <c r="E57" s="92"/>
      <c r="F57" s="92"/>
      <c r="G57" s="87"/>
      <c r="H57" s="93"/>
      <c r="I57" s="163"/>
      <c r="J57" s="163">
        <f>J44+J43</f>
        <v>805</v>
      </c>
      <c r="K57" s="172"/>
      <c r="L57" s="163"/>
      <c r="M57" s="172"/>
      <c r="N57" s="172"/>
      <c r="O57" s="172"/>
      <c r="P57" s="172" t="s">
        <v>63</v>
      </c>
      <c r="Q57" s="163"/>
      <c r="R57" s="163">
        <f>R44+R43</f>
        <v>35585</v>
      </c>
      <c r="S57" s="104"/>
      <c r="T57" s="22"/>
      <c r="U57" s="22"/>
      <c r="V57" s="91"/>
      <c r="X57"/>
      <c r="Y57" s="69"/>
      <c r="Z57"/>
      <c r="AA57" s="33"/>
    </row>
    <row r="58" spans="1:27" s="73" customFormat="1" ht="19.5" customHeight="1">
      <c r="A58" s="79"/>
      <c r="B58" s="92"/>
      <c r="C58" s="92"/>
      <c r="D58" s="92"/>
      <c r="E58" s="92"/>
      <c r="F58" s="92"/>
      <c r="G58" s="87"/>
      <c r="H58" s="93"/>
      <c r="I58" s="163"/>
      <c r="J58" s="163">
        <f>SUM(J54:J57)</f>
        <v>28688</v>
      </c>
      <c r="K58" s="172"/>
      <c r="L58" s="163"/>
      <c r="M58" s="172"/>
      <c r="N58" s="172"/>
      <c r="O58" s="172"/>
      <c r="P58" s="172"/>
      <c r="Q58" s="163"/>
      <c r="R58" s="163">
        <f>SUM(R54:R57)</f>
        <v>4597441</v>
      </c>
      <c r="S58" s="104"/>
      <c r="T58" s="22"/>
      <c r="U58" s="22"/>
      <c r="V58" s="91"/>
      <c r="X58"/>
      <c r="Y58" s="69"/>
      <c r="Z58"/>
      <c r="AA58" s="33"/>
    </row>
    <row r="59" spans="1:27" s="73" customFormat="1" ht="19.5" customHeight="1">
      <c r="A59" s="79"/>
      <c r="B59" s="92"/>
      <c r="C59" s="92"/>
      <c r="D59" s="92"/>
      <c r="E59" s="92"/>
      <c r="F59" s="92"/>
      <c r="G59" s="87"/>
      <c r="H59" s="93"/>
      <c r="I59" s="163"/>
      <c r="J59" s="163"/>
      <c r="K59" s="172"/>
      <c r="L59" s="163"/>
      <c r="M59" s="172"/>
      <c r="N59" s="172"/>
      <c r="O59" s="172"/>
      <c r="P59" s="172"/>
      <c r="Q59" s="163"/>
      <c r="R59" s="163"/>
      <c r="S59" s="104"/>
      <c r="T59" s="22"/>
      <c r="U59" s="22"/>
      <c r="V59" s="91"/>
      <c r="X59"/>
      <c r="Y59" s="69"/>
      <c r="Z59"/>
      <c r="AA59" s="33"/>
    </row>
    <row r="60" spans="1:27" s="73" customFormat="1" ht="19.5" customHeight="1">
      <c r="A60" s="79"/>
      <c r="B60" s="92"/>
      <c r="C60" s="92"/>
      <c r="D60" s="92"/>
      <c r="E60" s="92"/>
      <c r="F60" s="92"/>
      <c r="G60" s="87"/>
      <c r="H60" s="93"/>
      <c r="I60" s="4"/>
      <c r="J60" s="4"/>
      <c r="K60" s="93"/>
      <c r="L60" s="4"/>
      <c r="M60" s="114"/>
      <c r="N60" s="88"/>
      <c r="O60" s="89"/>
      <c r="P60" s="92"/>
      <c r="Q60" s="78"/>
      <c r="R60" s="163"/>
      <c r="S60" s="104"/>
      <c r="T60" s="22"/>
      <c r="U60" s="22"/>
      <c r="V60" s="91"/>
      <c r="X60"/>
      <c r="Y60" s="69"/>
      <c r="Z60"/>
      <c r="AA60" s="33"/>
    </row>
    <row r="61" spans="1:27" s="73" customFormat="1" ht="19.5" customHeight="1">
      <c r="A61" s="79"/>
      <c r="B61" s="92"/>
      <c r="C61" s="92"/>
      <c r="D61" s="92"/>
      <c r="E61" s="92"/>
      <c r="F61" s="92"/>
      <c r="G61" s="87"/>
      <c r="H61" s="93"/>
      <c r="I61" s="4"/>
      <c r="J61" s="4"/>
      <c r="K61" s="93"/>
      <c r="L61" s="4"/>
      <c r="M61" s="114"/>
      <c r="N61" s="88"/>
      <c r="O61" s="89"/>
      <c r="P61" s="92"/>
      <c r="Q61" s="78"/>
      <c r="R61" s="163"/>
      <c r="S61" s="104"/>
      <c r="T61" s="22"/>
      <c r="U61" s="22"/>
      <c r="V61" s="91"/>
      <c r="X61"/>
      <c r="Y61" s="69"/>
      <c r="Z61"/>
      <c r="AA61" s="33"/>
    </row>
    <row r="62" spans="1:27" s="73" customFormat="1" ht="19.5" customHeight="1">
      <c r="A62" s="79"/>
      <c r="B62" s="92"/>
      <c r="C62" s="92"/>
      <c r="D62" s="92"/>
      <c r="E62" s="92"/>
      <c r="F62" s="92"/>
      <c r="G62" s="87"/>
      <c r="H62" s="93"/>
      <c r="I62" s="4"/>
      <c r="J62" s="4"/>
      <c r="K62" s="93"/>
      <c r="L62" s="4"/>
      <c r="M62" s="114"/>
      <c r="N62" s="88"/>
      <c r="O62" s="89"/>
      <c r="P62" s="92"/>
      <c r="Q62" s="78"/>
      <c r="R62" s="163"/>
      <c r="S62" s="104"/>
      <c r="T62" s="22"/>
      <c r="U62" s="22"/>
      <c r="V62" s="91"/>
      <c r="X62"/>
      <c r="Y62" s="69"/>
      <c r="Z62"/>
      <c r="AA62" s="33"/>
    </row>
    <row r="63" spans="1:27" s="73" customFormat="1" hidden="1">
      <c r="A63" s="79">
        <v>45</v>
      </c>
      <c r="B63" s="92" t="s">
        <v>25</v>
      </c>
      <c r="C63" s="92">
        <v>2</v>
      </c>
      <c r="D63" s="92" t="s">
        <v>31</v>
      </c>
      <c r="E63" s="92" t="s">
        <v>26</v>
      </c>
      <c r="F63" s="92">
        <v>36</v>
      </c>
      <c r="G63" s="87" t="s">
        <v>89</v>
      </c>
      <c r="H63" s="93">
        <v>2.9</v>
      </c>
      <c r="I63" s="4">
        <v>6</v>
      </c>
      <c r="J63" s="4"/>
      <c r="K63" s="93">
        <v>2.9</v>
      </c>
      <c r="L63" s="4"/>
      <c r="M63" s="114" t="s">
        <v>115</v>
      </c>
      <c r="N63" s="88" t="s">
        <v>151</v>
      </c>
      <c r="O63" s="89">
        <v>43834</v>
      </c>
      <c r="P63" s="92" t="s">
        <v>62</v>
      </c>
      <c r="Q63" s="78" t="s">
        <v>51</v>
      </c>
      <c r="R63" s="163"/>
      <c r="S63" s="104"/>
      <c r="T63" s="22"/>
      <c r="U63" s="22"/>
      <c r="V63" s="91" t="s">
        <v>43</v>
      </c>
      <c r="X63"/>
      <c r="Y63" s="69"/>
      <c r="Z63"/>
      <c r="AA63" s="33"/>
    </row>
    <row r="64" spans="1:27" s="73" customFormat="1" hidden="1">
      <c r="A64" s="79">
        <v>46</v>
      </c>
      <c r="B64" s="92" t="s">
        <v>25</v>
      </c>
      <c r="C64" s="92">
        <v>2</v>
      </c>
      <c r="D64" s="92" t="s">
        <v>31</v>
      </c>
      <c r="E64" s="92" t="s">
        <v>26</v>
      </c>
      <c r="F64" s="92">
        <v>36</v>
      </c>
      <c r="G64" s="87" t="s">
        <v>80</v>
      </c>
      <c r="H64" s="93">
        <v>1.8</v>
      </c>
      <c r="I64" s="4">
        <v>2</v>
      </c>
      <c r="J64" s="4"/>
      <c r="K64" s="93">
        <v>1.8</v>
      </c>
      <c r="L64" s="4"/>
      <c r="M64" s="114" t="s">
        <v>115</v>
      </c>
      <c r="N64" s="88" t="s">
        <v>151</v>
      </c>
      <c r="O64" s="89">
        <v>43834</v>
      </c>
      <c r="P64" s="92" t="s">
        <v>62</v>
      </c>
      <c r="Q64" s="78" t="s">
        <v>51</v>
      </c>
      <c r="R64" s="163"/>
      <c r="S64" s="104"/>
      <c r="T64" s="22"/>
      <c r="U64" s="22"/>
      <c r="V64" s="91"/>
      <c r="X64"/>
      <c r="Y64" s="69"/>
      <c r="Z64"/>
      <c r="AA64" s="33"/>
    </row>
    <row r="65" spans="1:27" s="73" customFormat="1" hidden="1">
      <c r="A65" s="79">
        <v>47</v>
      </c>
      <c r="B65" s="92" t="s">
        <v>25</v>
      </c>
      <c r="C65" s="92">
        <v>2</v>
      </c>
      <c r="D65" s="92" t="s">
        <v>31</v>
      </c>
      <c r="E65" s="92" t="s">
        <v>26</v>
      </c>
      <c r="F65" s="92">
        <v>36</v>
      </c>
      <c r="G65" s="87" t="s">
        <v>68</v>
      </c>
      <c r="H65" s="93">
        <v>3.1</v>
      </c>
      <c r="I65" s="4">
        <v>2</v>
      </c>
      <c r="J65" s="4"/>
      <c r="K65" s="93">
        <v>3.1</v>
      </c>
      <c r="L65" s="4"/>
      <c r="M65" s="114" t="s">
        <v>115</v>
      </c>
      <c r="N65" s="88" t="s">
        <v>151</v>
      </c>
      <c r="O65" s="89">
        <v>43834</v>
      </c>
      <c r="P65" s="92" t="s">
        <v>62</v>
      </c>
      <c r="Q65" s="78" t="s">
        <v>51</v>
      </c>
      <c r="R65" s="163"/>
      <c r="S65" s="104"/>
      <c r="T65" s="22"/>
      <c r="U65" s="22"/>
      <c r="V65" s="91" t="s">
        <v>45</v>
      </c>
      <c r="X65"/>
      <c r="Y65" s="69"/>
      <c r="Z65"/>
      <c r="AA65" s="33"/>
    </row>
    <row r="66" spans="1:27" s="73" customFormat="1" hidden="1">
      <c r="A66" s="79">
        <v>48</v>
      </c>
      <c r="B66" s="92" t="s">
        <v>25</v>
      </c>
      <c r="C66" s="92">
        <v>2</v>
      </c>
      <c r="D66" s="92" t="s">
        <v>31</v>
      </c>
      <c r="E66" s="92" t="s">
        <v>26</v>
      </c>
      <c r="F66" s="92">
        <v>40</v>
      </c>
      <c r="G66" s="87" t="s">
        <v>69</v>
      </c>
      <c r="H66" s="93">
        <v>0.4</v>
      </c>
      <c r="I66" s="4">
        <v>1</v>
      </c>
      <c r="J66" s="4"/>
      <c r="K66" s="93">
        <v>0.4</v>
      </c>
      <c r="L66" s="4"/>
      <c r="M66" s="114" t="s">
        <v>115</v>
      </c>
      <c r="N66" s="88" t="s">
        <v>151</v>
      </c>
      <c r="O66" s="89">
        <v>43834</v>
      </c>
      <c r="P66" s="92" t="s">
        <v>62</v>
      </c>
      <c r="Q66" s="78" t="s">
        <v>51</v>
      </c>
      <c r="R66" s="163"/>
      <c r="S66" s="104"/>
      <c r="T66" s="22"/>
      <c r="U66" s="22"/>
      <c r="V66" s="91" t="s">
        <v>45</v>
      </c>
      <c r="X66"/>
      <c r="Y66" s="69"/>
      <c r="Z66"/>
      <c r="AA66" s="33"/>
    </row>
    <row r="67" spans="1:27" s="73" customFormat="1" hidden="1">
      <c r="A67" s="79">
        <v>49</v>
      </c>
      <c r="B67" s="92" t="s">
        <v>25</v>
      </c>
      <c r="C67" s="92">
        <v>2</v>
      </c>
      <c r="D67" s="92" t="s">
        <v>31</v>
      </c>
      <c r="E67" s="92" t="s">
        <v>26</v>
      </c>
      <c r="F67" s="92">
        <v>40</v>
      </c>
      <c r="G67" s="87" t="s">
        <v>72</v>
      </c>
      <c r="H67" s="93">
        <v>0.5</v>
      </c>
      <c r="I67" s="4">
        <v>1</v>
      </c>
      <c r="J67" s="4"/>
      <c r="K67" s="93">
        <v>0.5</v>
      </c>
      <c r="L67" s="4"/>
      <c r="M67" s="114" t="s">
        <v>115</v>
      </c>
      <c r="N67" s="88" t="s">
        <v>151</v>
      </c>
      <c r="O67" s="89">
        <v>43834</v>
      </c>
      <c r="P67" s="92" t="s">
        <v>62</v>
      </c>
      <c r="Q67" s="78" t="s">
        <v>51</v>
      </c>
      <c r="R67" s="163"/>
      <c r="S67" s="104"/>
      <c r="T67" s="22"/>
      <c r="U67" s="22"/>
      <c r="V67" s="91"/>
      <c r="X67"/>
      <c r="Y67" s="69"/>
      <c r="Z67"/>
      <c r="AA67" s="33"/>
    </row>
    <row r="68" spans="1:27" s="73" customFormat="1" hidden="1">
      <c r="A68" s="79">
        <v>50</v>
      </c>
      <c r="B68" s="92" t="s">
        <v>25</v>
      </c>
      <c r="C68" s="92">
        <v>2</v>
      </c>
      <c r="D68" s="92" t="s">
        <v>31</v>
      </c>
      <c r="E68" s="92" t="s">
        <v>28</v>
      </c>
      <c r="F68" s="92">
        <v>43</v>
      </c>
      <c r="G68" s="87" t="s">
        <v>69</v>
      </c>
      <c r="H68" s="93">
        <v>1</v>
      </c>
      <c r="I68" s="4">
        <v>5</v>
      </c>
      <c r="J68" s="4"/>
      <c r="K68" s="93">
        <v>1</v>
      </c>
      <c r="L68" s="4"/>
      <c r="M68" s="114" t="s">
        <v>115</v>
      </c>
      <c r="N68" s="88" t="s">
        <v>151</v>
      </c>
      <c r="O68" s="89">
        <v>43834</v>
      </c>
      <c r="P68" s="92" t="s">
        <v>62</v>
      </c>
      <c r="Q68" s="78" t="s">
        <v>51</v>
      </c>
      <c r="R68" s="163"/>
      <c r="S68" s="104"/>
      <c r="T68" s="22"/>
      <c r="U68" s="22"/>
      <c r="V68" s="91"/>
      <c r="X68"/>
      <c r="Y68" s="69"/>
      <c r="Z68"/>
      <c r="AA68" s="33"/>
    </row>
    <row r="69" spans="1:27" s="73" customFormat="1" hidden="1">
      <c r="A69" s="79">
        <v>51</v>
      </c>
      <c r="B69" s="92" t="s">
        <v>25</v>
      </c>
      <c r="C69" s="92">
        <v>2</v>
      </c>
      <c r="D69" s="92" t="s">
        <v>31</v>
      </c>
      <c r="E69" s="92" t="s">
        <v>28</v>
      </c>
      <c r="F69" s="92">
        <v>44</v>
      </c>
      <c r="G69" s="87" t="s">
        <v>69</v>
      </c>
      <c r="H69" s="93">
        <v>0.8</v>
      </c>
      <c r="I69" s="4">
        <v>1</v>
      </c>
      <c r="J69" s="4"/>
      <c r="K69" s="93">
        <v>0.8</v>
      </c>
      <c r="L69" s="4"/>
      <c r="M69" s="114" t="s">
        <v>115</v>
      </c>
      <c r="N69" s="88" t="s">
        <v>151</v>
      </c>
      <c r="O69" s="89">
        <v>43834</v>
      </c>
      <c r="P69" s="92" t="s">
        <v>62</v>
      </c>
      <c r="Q69" s="78" t="s">
        <v>51</v>
      </c>
      <c r="R69" s="163"/>
      <c r="S69" s="104"/>
      <c r="T69" s="22"/>
      <c r="U69" s="22"/>
      <c r="V69" s="91"/>
      <c r="X69"/>
      <c r="Y69" s="69"/>
      <c r="Z69"/>
      <c r="AA69" s="33"/>
    </row>
    <row r="70" spans="1:27" s="73" customFormat="1" hidden="1">
      <c r="A70" s="79">
        <v>52</v>
      </c>
      <c r="B70" s="92" t="s">
        <v>25</v>
      </c>
      <c r="C70" s="92">
        <v>2</v>
      </c>
      <c r="D70" s="92" t="s">
        <v>23</v>
      </c>
      <c r="E70" s="92" t="s">
        <v>26</v>
      </c>
      <c r="F70" s="92">
        <v>59</v>
      </c>
      <c r="G70" s="87" t="s">
        <v>69</v>
      </c>
      <c r="H70" s="93">
        <v>2.4</v>
      </c>
      <c r="I70" s="4">
        <v>32</v>
      </c>
      <c r="J70" s="4">
        <v>7</v>
      </c>
      <c r="K70" s="93">
        <v>2.4</v>
      </c>
      <c r="L70" s="4"/>
      <c r="M70" s="114" t="s">
        <v>115</v>
      </c>
      <c r="N70" s="88" t="s">
        <v>152</v>
      </c>
      <c r="O70" s="89">
        <v>43834</v>
      </c>
      <c r="P70" s="92" t="s">
        <v>62</v>
      </c>
      <c r="Q70" s="78" t="s">
        <v>51</v>
      </c>
      <c r="R70" s="163"/>
      <c r="S70" s="104"/>
      <c r="T70" s="22"/>
      <c r="U70" s="22"/>
      <c r="V70" s="91" t="s">
        <v>45</v>
      </c>
      <c r="X70"/>
      <c r="Y70" s="69"/>
      <c r="Z70"/>
      <c r="AA70" s="33"/>
    </row>
    <row r="71" spans="1:27" s="73" customFormat="1" hidden="1">
      <c r="A71" s="79">
        <v>53</v>
      </c>
      <c r="B71" s="92" t="s">
        <v>25</v>
      </c>
      <c r="C71" s="92">
        <v>2</v>
      </c>
      <c r="D71" s="92" t="s">
        <v>23</v>
      </c>
      <c r="E71" s="92" t="s">
        <v>26</v>
      </c>
      <c r="F71" s="92">
        <v>59</v>
      </c>
      <c r="G71" s="87" t="s">
        <v>74</v>
      </c>
      <c r="H71" s="93">
        <v>1.6</v>
      </c>
      <c r="I71" s="4">
        <v>8</v>
      </c>
      <c r="J71" s="4">
        <v>4</v>
      </c>
      <c r="K71" s="93">
        <v>1.6</v>
      </c>
      <c r="L71" s="4"/>
      <c r="M71" s="114" t="s">
        <v>115</v>
      </c>
      <c r="N71" s="88" t="s">
        <v>152</v>
      </c>
      <c r="O71" s="89">
        <v>43834</v>
      </c>
      <c r="P71" s="92" t="s">
        <v>62</v>
      </c>
      <c r="Q71" s="78" t="s">
        <v>51</v>
      </c>
      <c r="R71" s="163"/>
      <c r="S71" s="104"/>
      <c r="T71" s="22"/>
      <c r="U71" s="22"/>
      <c r="V71" s="91" t="s">
        <v>45</v>
      </c>
      <c r="X71"/>
      <c r="Y71" s="69"/>
      <c r="Z71"/>
      <c r="AA71" s="33"/>
    </row>
    <row r="72" spans="1:27" s="73" customFormat="1" hidden="1">
      <c r="A72" s="79">
        <v>54</v>
      </c>
      <c r="B72" s="92" t="s">
        <v>25</v>
      </c>
      <c r="C72" s="92">
        <v>2</v>
      </c>
      <c r="D72" s="92" t="s">
        <v>23</v>
      </c>
      <c r="E72" s="92" t="s">
        <v>28</v>
      </c>
      <c r="F72" s="92">
        <v>61</v>
      </c>
      <c r="G72" s="87" t="s">
        <v>89</v>
      </c>
      <c r="H72" s="93">
        <v>4.5</v>
      </c>
      <c r="I72" s="4">
        <v>47</v>
      </c>
      <c r="J72" s="4">
        <v>22</v>
      </c>
      <c r="K72" s="93">
        <v>4.5</v>
      </c>
      <c r="L72" s="4"/>
      <c r="M72" s="114" t="s">
        <v>115</v>
      </c>
      <c r="N72" s="88" t="s">
        <v>152</v>
      </c>
      <c r="O72" s="89">
        <v>43834</v>
      </c>
      <c r="P72" s="92" t="s">
        <v>62</v>
      </c>
      <c r="Q72" s="78" t="s">
        <v>33</v>
      </c>
      <c r="R72" s="163"/>
      <c r="S72" s="104"/>
      <c r="T72" s="22"/>
      <c r="U72" s="22"/>
      <c r="V72" s="91" t="s">
        <v>46</v>
      </c>
      <c r="X72"/>
      <c r="Y72" s="69"/>
      <c r="Z72"/>
      <c r="AA72" s="33"/>
    </row>
    <row r="73" spans="1:27" s="73" customFormat="1" hidden="1">
      <c r="A73" s="79">
        <v>55</v>
      </c>
      <c r="B73" s="92" t="s">
        <v>25</v>
      </c>
      <c r="C73" s="92">
        <v>2</v>
      </c>
      <c r="D73" s="92" t="s">
        <v>23</v>
      </c>
      <c r="E73" s="92" t="s">
        <v>26</v>
      </c>
      <c r="F73" s="92">
        <v>61</v>
      </c>
      <c r="G73" s="87" t="s">
        <v>79</v>
      </c>
      <c r="H73" s="93">
        <v>1.1000000000000001</v>
      </c>
      <c r="I73" s="4">
        <v>9</v>
      </c>
      <c r="J73" s="4">
        <v>5</v>
      </c>
      <c r="K73" s="93">
        <v>1.1000000000000001</v>
      </c>
      <c r="L73" s="4"/>
      <c r="M73" s="114" t="s">
        <v>115</v>
      </c>
      <c r="N73" s="88" t="s">
        <v>152</v>
      </c>
      <c r="O73" s="89">
        <v>43834</v>
      </c>
      <c r="P73" s="92" t="s">
        <v>62</v>
      </c>
      <c r="Q73" s="78" t="s">
        <v>33</v>
      </c>
      <c r="R73" s="163"/>
      <c r="S73" s="104"/>
      <c r="T73" s="22"/>
      <c r="U73" s="22"/>
      <c r="V73" s="91" t="s">
        <v>46</v>
      </c>
      <c r="X73"/>
      <c r="Y73" s="69"/>
      <c r="Z73"/>
      <c r="AA73" s="33"/>
    </row>
    <row r="74" spans="1:27" s="73" customFormat="1" hidden="1">
      <c r="A74" s="79">
        <v>56</v>
      </c>
      <c r="B74" s="92" t="s">
        <v>25</v>
      </c>
      <c r="C74" s="92">
        <v>2</v>
      </c>
      <c r="D74" s="92" t="s">
        <v>23</v>
      </c>
      <c r="E74" s="92" t="s">
        <v>26</v>
      </c>
      <c r="F74" s="92">
        <v>36</v>
      </c>
      <c r="G74" s="87" t="s">
        <v>77</v>
      </c>
      <c r="H74" s="93">
        <v>1.6</v>
      </c>
      <c r="I74" s="4">
        <v>30</v>
      </c>
      <c r="J74" s="4">
        <v>9</v>
      </c>
      <c r="K74" s="93">
        <v>1.6</v>
      </c>
      <c r="L74" s="4"/>
      <c r="M74" s="114" t="s">
        <v>115</v>
      </c>
      <c r="N74" s="88" t="s">
        <v>152</v>
      </c>
      <c r="O74" s="89">
        <v>43834</v>
      </c>
      <c r="P74" s="92" t="s">
        <v>62</v>
      </c>
      <c r="Q74" s="78" t="s">
        <v>51</v>
      </c>
      <c r="R74" s="163"/>
      <c r="S74" s="104"/>
      <c r="T74" s="22"/>
      <c r="U74" s="22"/>
      <c r="V74" s="91" t="s">
        <v>46</v>
      </c>
      <c r="X74"/>
      <c r="Y74" s="69"/>
      <c r="Z74"/>
      <c r="AA74" s="33"/>
    </row>
    <row r="75" spans="1:27" s="73" customFormat="1" hidden="1">
      <c r="A75" s="79">
        <v>57</v>
      </c>
      <c r="B75" s="92" t="s">
        <v>25</v>
      </c>
      <c r="C75" s="92">
        <v>2</v>
      </c>
      <c r="D75" s="92" t="s">
        <v>24</v>
      </c>
      <c r="E75" s="92" t="s">
        <v>28</v>
      </c>
      <c r="F75" s="92">
        <v>60</v>
      </c>
      <c r="G75" s="87" t="s">
        <v>72</v>
      </c>
      <c r="H75" s="93">
        <v>2.7</v>
      </c>
      <c r="I75" s="4">
        <v>49</v>
      </c>
      <c r="J75" s="4">
        <v>26</v>
      </c>
      <c r="K75" s="93">
        <v>2.7</v>
      </c>
      <c r="L75" s="4"/>
      <c r="M75" s="114" t="s">
        <v>115</v>
      </c>
      <c r="N75" s="88" t="s">
        <v>153</v>
      </c>
      <c r="O75" s="89">
        <v>43834</v>
      </c>
      <c r="P75" s="92" t="s">
        <v>62</v>
      </c>
      <c r="Q75" s="78" t="s">
        <v>51</v>
      </c>
      <c r="R75" s="163"/>
      <c r="S75" s="104"/>
      <c r="T75" s="22"/>
      <c r="U75" s="22"/>
      <c r="V75" s="91" t="s">
        <v>46</v>
      </c>
      <c r="X75"/>
      <c r="Y75" s="69"/>
      <c r="Z75"/>
      <c r="AA75" s="33"/>
    </row>
    <row r="76" spans="1:27" s="73" customFormat="1" hidden="1">
      <c r="A76" s="79">
        <v>58</v>
      </c>
      <c r="B76" s="92" t="s">
        <v>25</v>
      </c>
      <c r="C76" s="92">
        <v>2</v>
      </c>
      <c r="D76" s="92" t="s">
        <v>24</v>
      </c>
      <c r="E76" s="92" t="s">
        <v>28</v>
      </c>
      <c r="F76" s="92">
        <v>79</v>
      </c>
      <c r="G76" s="87" t="s">
        <v>69</v>
      </c>
      <c r="H76" s="93">
        <v>4.5999999999999996</v>
      </c>
      <c r="I76" s="4">
        <v>67</v>
      </c>
      <c r="J76" s="4">
        <v>42</v>
      </c>
      <c r="K76" s="93">
        <v>4.5999999999999996</v>
      </c>
      <c r="L76" s="4"/>
      <c r="M76" s="114" t="s">
        <v>115</v>
      </c>
      <c r="N76" s="88" t="s">
        <v>153</v>
      </c>
      <c r="O76" s="89">
        <v>43834</v>
      </c>
      <c r="P76" s="92" t="s">
        <v>62</v>
      </c>
      <c r="Q76" s="78" t="s">
        <v>33</v>
      </c>
      <c r="R76" s="163"/>
      <c r="S76" s="104"/>
      <c r="T76" s="22"/>
      <c r="U76" s="22"/>
      <c r="V76" s="91" t="s">
        <v>46</v>
      </c>
      <c r="X76"/>
      <c r="Y76" s="69"/>
      <c r="Z76"/>
      <c r="AA76" s="33"/>
    </row>
    <row r="77" spans="1:27" s="73" customFormat="1" hidden="1">
      <c r="A77" s="79">
        <v>59</v>
      </c>
      <c r="B77" s="92" t="s">
        <v>25</v>
      </c>
      <c r="C77" s="92">
        <v>2</v>
      </c>
      <c r="D77" s="92" t="s">
        <v>24</v>
      </c>
      <c r="E77" s="92" t="s">
        <v>26</v>
      </c>
      <c r="F77" s="92">
        <v>60</v>
      </c>
      <c r="G77" s="87" t="s">
        <v>74</v>
      </c>
      <c r="H77" s="93">
        <v>2.6</v>
      </c>
      <c r="I77" s="4">
        <v>51</v>
      </c>
      <c r="J77" s="4">
        <v>38</v>
      </c>
      <c r="K77" s="93">
        <v>2.6</v>
      </c>
      <c r="L77" s="4"/>
      <c r="M77" s="114" t="s">
        <v>115</v>
      </c>
      <c r="N77" s="88" t="s">
        <v>153</v>
      </c>
      <c r="O77" s="89">
        <v>43834</v>
      </c>
      <c r="P77" s="92" t="s">
        <v>62</v>
      </c>
      <c r="Q77" s="78" t="s">
        <v>51</v>
      </c>
      <c r="R77" s="163"/>
      <c r="S77" s="104"/>
      <c r="T77" s="22"/>
      <c r="U77" s="22"/>
      <c r="V77" s="91" t="s">
        <v>46</v>
      </c>
      <c r="X77"/>
      <c r="Y77" s="69"/>
      <c r="Z77"/>
      <c r="AA77" s="33"/>
    </row>
    <row r="78" spans="1:27" s="73" customFormat="1" hidden="1">
      <c r="A78" s="79">
        <v>60</v>
      </c>
      <c r="B78" s="92" t="s">
        <v>25</v>
      </c>
      <c r="C78" s="92">
        <v>2</v>
      </c>
      <c r="D78" s="92" t="s">
        <v>22</v>
      </c>
      <c r="E78" s="92" t="s">
        <v>26</v>
      </c>
      <c r="F78" s="92">
        <v>80</v>
      </c>
      <c r="G78" s="87" t="s">
        <v>79</v>
      </c>
      <c r="H78" s="93">
        <v>12</v>
      </c>
      <c r="I78" s="4">
        <v>360</v>
      </c>
      <c r="J78" s="4">
        <f>288+8</f>
        <v>296</v>
      </c>
      <c r="K78" s="93">
        <v>12</v>
      </c>
      <c r="L78" s="4"/>
      <c r="M78" s="114" t="s">
        <v>115</v>
      </c>
      <c r="N78" s="88" t="s">
        <v>154</v>
      </c>
      <c r="O78" s="89">
        <v>43841</v>
      </c>
      <c r="P78" s="92" t="s">
        <v>62</v>
      </c>
      <c r="Q78" s="78" t="s">
        <v>52</v>
      </c>
      <c r="R78" s="163">
        <v>12291</v>
      </c>
      <c r="S78" s="104"/>
      <c r="T78" s="22"/>
      <c r="U78" s="22"/>
      <c r="V78" s="91"/>
      <c r="X78"/>
      <c r="Y78" s="69"/>
      <c r="Z78"/>
      <c r="AA78" s="33"/>
    </row>
    <row r="79" spans="1:27" s="73" customFormat="1" hidden="1">
      <c r="A79" s="79">
        <v>61</v>
      </c>
      <c r="B79" s="92" t="s">
        <v>25</v>
      </c>
      <c r="C79" s="92">
        <v>2</v>
      </c>
      <c r="D79" s="92" t="s">
        <v>22</v>
      </c>
      <c r="E79" s="92" t="s">
        <v>26</v>
      </c>
      <c r="F79" s="92">
        <v>82</v>
      </c>
      <c r="G79" s="87" t="s">
        <v>71</v>
      </c>
      <c r="H79" s="93">
        <v>9.9</v>
      </c>
      <c r="I79" s="4">
        <v>223</v>
      </c>
      <c r="J79" s="4">
        <f>177+8</f>
        <v>185</v>
      </c>
      <c r="K79" s="93">
        <v>9.9</v>
      </c>
      <c r="L79" s="4"/>
      <c r="M79" s="114" t="s">
        <v>115</v>
      </c>
      <c r="N79" s="88" t="s">
        <v>154</v>
      </c>
      <c r="O79" s="89">
        <v>43841</v>
      </c>
      <c r="P79" s="92" t="s">
        <v>62</v>
      </c>
      <c r="Q79" s="78" t="s">
        <v>52</v>
      </c>
      <c r="R79" s="163">
        <v>5824</v>
      </c>
      <c r="S79" s="104"/>
      <c r="T79" s="22"/>
      <c r="U79" s="22"/>
      <c r="V79" s="91"/>
      <c r="X79"/>
      <c r="Y79" s="69"/>
      <c r="Z79"/>
      <c r="AA79" s="33"/>
    </row>
    <row r="80" spans="1:27" s="73" customFormat="1" ht="30" hidden="1">
      <c r="A80" s="79">
        <v>62</v>
      </c>
      <c r="B80" s="92" t="s">
        <v>25</v>
      </c>
      <c r="C80" s="92">
        <v>2</v>
      </c>
      <c r="D80" s="92" t="s">
        <v>32</v>
      </c>
      <c r="E80" s="92" t="s">
        <v>26</v>
      </c>
      <c r="F80" s="92">
        <v>37</v>
      </c>
      <c r="G80" s="87" t="s">
        <v>89</v>
      </c>
      <c r="H80" s="93">
        <v>0.4</v>
      </c>
      <c r="I80" s="4">
        <v>26</v>
      </c>
      <c r="J80" s="4">
        <v>13</v>
      </c>
      <c r="K80" s="93">
        <v>0.4</v>
      </c>
      <c r="L80" s="4"/>
      <c r="M80" s="114" t="s">
        <v>115</v>
      </c>
      <c r="N80" s="126" t="s">
        <v>155</v>
      </c>
      <c r="O80" s="89">
        <v>43841</v>
      </c>
      <c r="P80" s="92" t="s">
        <v>62</v>
      </c>
      <c r="Q80" s="78" t="s">
        <v>51</v>
      </c>
      <c r="R80" s="163">
        <v>61</v>
      </c>
      <c r="S80" s="104"/>
      <c r="T80" s="22"/>
      <c r="U80" s="22"/>
      <c r="V80" s="91"/>
      <c r="X80"/>
      <c r="Y80" s="69"/>
      <c r="Z80"/>
      <c r="AA80" s="33"/>
    </row>
    <row r="81" spans="1:27" s="73" customFormat="1" ht="30" hidden="1">
      <c r="A81" s="79">
        <v>63</v>
      </c>
      <c r="B81" s="92" t="s">
        <v>25</v>
      </c>
      <c r="C81" s="92">
        <v>2</v>
      </c>
      <c r="D81" s="92" t="s">
        <v>32</v>
      </c>
      <c r="E81" s="92" t="s">
        <v>28</v>
      </c>
      <c r="F81" s="92">
        <v>39</v>
      </c>
      <c r="G81" s="87" t="s">
        <v>77</v>
      </c>
      <c r="H81" s="93">
        <v>1.3</v>
      </c>
      <c r="I81" s="4">
        <v>25</v>
      </c>
      <c r="J81" s="4">
        <v>12</v>
      </c>
      <c r="K81" s="93">
        <v>1.3</v>
      </c>
      <c r="L81" s="4"/>
      <c r="M81" s="114" t="s">
        <v>115</v>
      </c>
      <c r="N81" s="126" t="s">
        <v>155</v>
      </c>
      <c r="O81" s="89">
        <v>43841</v>
      </c>
      <c r="P81" s="92" t="s">
        <v>62</v>
      </c>
      <c r="Q81" s="78" t="s">
        <v>51</v>
      </c>
      <c r="R81" s="163">
        <v>52</v>
      </c>
      <c r="S81" s="104"/>
      <c r="T81" s="22"/>
      <c r="U81" s="22"/>
      <c r="V81" s="91"/>
      <c r="X81"/>
      <c r="Y81" s="69"/>
      <c r="Z81"/>
      <c r="AA81" s="33"/>
    </row>
    <row r="82" spans="1:27" s="73" customFormat="1" ht="30" hidden="1">
      <c r="A82" s="79">
        <v>64</v>
      </c>
      <c r="B82" s="92" t="s">
        <v>25</v>
      </c>
      <c r="C82" s="92">
        <v>2</v>
      </c>
      <c r="D82" s="92" t="s">
        <v>32</v>
      </c>
      <c r="E82" s="92" t="s">
        <v>28</v>
      </c>
      <c r="F82" s="92">
        <v>43</v>
      </c>
      <c r="G82" s="87" t="s">
        <v>71</v>
      </c>
      <c r="H82" s="93">
        <v>9.1</v>
      </c>
      <c r="I82" s="4">
        <v>105</v>
      </c>
      <c r="J82" s="4">
        <v>61</v>
      </c>
      <c r="K82" s="93">
        <v>9.1</v>
      </c>
      <c r="L82" s="4"/>
      <c r="M82" s="114" t="s">
        <v>115</v>
      </c>
      <c r="N82" s="126" t="s">
        <v>155</v>
      </c>
      <c r="O82" s="89">
        <v>43841</v>
      </c>
      <c r="P82" s="92" t="s">
        <v>62</v>
      </c>
      <c r="Q82" s="78" t="s">
        <v>51</v>
      </c>
      <c r="R82" s="163">
        <v>242</v>
      </c>
      <c r="S82" s="104"/>
      <c r="T82" s="22"/>
      <c r="U82" s="22"/>
      <c r="V82" s="91"/>
      <c r="X82"/>
      <c r="Y82" s="69"/>
      <c r="Z82"/>
      <c r="AA82" s="33"/>
    </row>
    <row r="83" spans="1:27" s="73" customFormat="1" ht="30" hidden="1">
      <c r="A83" s="79">
        <v>65</v>
      </c>
      <c r="B83" s="92" t="s">
        <v>25</v>
      </c>
      <c r="C83" s="92">
        <v>2</v>
      </c>
      <c r="D83" s="92" t="s">
        <v>32</v>
      </c>
      <c r="E83" s="92" t="s">
        <v>26</v>
      </c>
      <c r="F83" s="92">
        <v>59</v>
      </c>
      <c r="G83" s="87" t="s">
        <v>68</v>
      </c>
      <c r="H83" s="93">
        <v>5.8</v>
      </c>
      <c r="I83" s="4">
        <v>89</v>
      </c>
      <c r="J83" s="4">
        <v>57</v>
      </c>
      <c r="K83" s="93">
        <v>5.8</v>
      </c>
      <c r="L83" s="4"/>
      <c r="M83" s="114" t="s">
        <v>115</v>
      </c>
      <c r="N83" s="126" t="s">
        <v>155</v>
      </c>
      <c r="O83" s="89">
        <v>43841</v>
      </c>
      <c r="P83" s="92" t="s">
        <v>62</v>
      </c>
      <c r="Q83" s="78" t="s">
        <v>51</v>
      </c>
      <c r="R83" s="163">
        <v>208</v>
      </c>
      <c r="S83" s="104"/>
      <c r="T83" s="22"/>
      <c r="U83" s="22"/>
      <c r="V83" s="91" t="s">
        <v>47</v>
      </c>
      <c r="X83"/>
      <c r="Y83" s="69"/>
      <c r="Z83"/>
      <c r="AA83" s="33"/>
    </row>
    <row r="84" spans="1:27" s="73" customFormat="1" ht="30" hidden="1">
      <c r="A84" s="79">
        <v>66</v>
      </c>
      <c r="B84" s="92" t="s">
        <v>25</v>
      </c>
      <c r="C84" s="92">
        <v>2</v>
      </c>
      <c r="D84" s="92" t="s">
        <v>32</v>
      </c>
      <c r="E84" s="92" t="s">
        <v>26</v>
      </c>
      <c r="F84" s="92">
        <v>59</v>
      </c>
      <c r="G84" s="87" t="s">
        <v>75</v>
      </c>
      <c r="H84" s="93">
        <v>8</v>
      </c>
      <c r="I84" s="4">
        <v>49</v>
      </c>
      <c r="J84" s="4">
        <v>29</v>
      </c>
      <c r="K84" s="93">
        <v>8</v>
      </c>
      <c r="L84" s="4"/>
      <c r="M84" s="114" t="s">
        <v>115</v>
      </c>
      <c r="N84" s="126" t="s">
        <v>155</v>
      </c>
      <c r="O84" s="89">
        <v>43841</v>
      </c>
      <c r="P84" s="92" t="s">
        <v>62</v>
      </c>
      <c r="Q84" s="78" t="s">
        <v>51</v>
      </c>
      <c r="R84" s="163">
        <v>107</v>
      </c>
      <c r="S84" s="104"/>
      <c r="T84" s="22"/>
      <c r="U84" s="22"/>
      <c r="V84" s="91" t="s">
        <v>47</v>
      </c>
      <c r="X84"/>
      <c r="Y84" s="69"/>
      <c r="Z84"/>
      <c r="AA84" s="33"/>
    </row>
    <row r="85" spans="1:27" s="73" customFormat="1" ht="30" hidden="1">
      <c r="A85" s="79">
        <v>67</v>
      </c>
      <c r="B85" s="92" t="s">
        <v>25</v>
      </c>
      <c r="C85" s="92">
        <v>2</v>
      </c>
      <c r="D85" s="92" t="s">
        <v>32</v>
      </c>
      <c r="E85" s="92" t="s">
        <v>28</v>
      </c>
      <c r="F85" s="92">
        <v>60</v>
      </c>
      <c r="G85" s="87" t="s">
        <v>67</v>
      </c>
      <c r="H85" s="93">
        <v>4.5999999999999996</v>
      </c>
      <c r="I85" s="4">
        <v>99</v>
      </c>
      <c r="J85" s="4">
        <v>66</v>
      </c>
      <c r="K85" s="93">
        <v>4.5999999999999996</v>
      </c>
      <c r="L85" s="4"/>
      <c r="M85" s="114" t="s">
        <v>115</v>
      </c>
      <c r="N85" s="126" t="s">
        <v>155</v>
      </c>
      <c r="O85" s="89">
        <v>43841</v>
      </c>
      <c r="P85" s="92" t="s">
        <v>62</v>
      </c>
      <c r="Q85" s="78" t="s">
        <v>51</v>
      </c>
      <c r="R85" s="163">
        <v>238</v>
      </c>
      <c r="S85" s="104"/>
      <c r="T85" s="22"/>
      <c r="U85" s="22"/>
      <c r="V85" s="91" t="s">
        <v>48</v>
      </c>
      <c r="X85"/>
      <c r="Y85" s="69"/>
      <c r="Z85"/>
      <c r="AA85" s="33"/>
    </row>
    <row r="86" spans="1:27" s="73" customFormat="1" ht="30" hidden="1">
      <c r="A86" s="79">
        <v>68</v>
      </c>
      <c r="B86" s="92" t="s">
        <v>25</v>
      </c>
      <c r="C86" s="92">
        <v>2</v>
      </c>
      <c r="D86" s="92" t="s">
        <v>32</v>
      </c>
      <c r="E86" s="92" t="s">
        <v>29</v>
      </c>
      <c r="F86" s="92">
        <v>64</v>
      </c>
      <c r="G86" s="87" t="s">
        <v>87</v>
      </c>
      <c r="H86" s="93">
        <v>13.6</v>
      </c>
      <c r="I86" s="4">
        <v>263</v>
      </c>
      <c r="J86" s="4">
        <f>215+4</f>
        <v>219</v>
      </c>
      <c r="K86" s="93">
        <v>13.6</v>
      </c>
      <c r="L86" s="4"/>
      <c r="M86" s="114" t="s">
        <v>115</v>
      </c>
      <c r="N86" s="126" t="s">
        <v>155</v>
      </c>
      <c r="O86" s="89">
        <v>43841</v>
      </c>
      <c r="P86" s="92" t="s">
        <v>62</v>
      </c>
      <c r="Q86" s="78" t="s">
        <v>33</v>
      </c>
      <c r="R86" s="163">
        <v>2463</v>
      </c>
      <c r="S86" s="104"/>
      <c r="T86" s="22"/>
      <c r="U86" s="22"/>
      <c r="V86" s="91" t="s">
        <v>48</v>
      </c>
      <c r="X86"/>
      <c r="Y86" s="69"/>
      <c r="Z86"/>
      <c r="AA86" s="33"/>
    </row>
    <row r="87" spans="1:27" s="73" customFormat="1" ht="30" hidden="1">
      <c r="A87" s="79">
        <v>69</v>
      </c>
      <c r="B87" s="92" t="s">
        <v>25</v>
      </c>
      <c r="C87" s="92">
        <v>2</v>
      </c>
      <c r="D87" s="92" t="s">
        <v>32</v>
      </c>
      <c r="E87" s="92" t="s">
        <v>26</v>
      </c>
      <c r="F87" s="92">
        <v>64</v>
      </c>
      <c r="G87" s="87" t="s">
        <v>103</v>
      </c>
      <c r="H87" s="93">
        <v>16.399999999999999</v>
      </c>
      <c r="I87" s="4">
        <v>221</v>
      </c>
      <c r="J87" s="4">
        <f>199+5</f>
        <v>204</v>
      </c>
      <c r="K87" s="93">
        <v>16.399999999999999</v>
      </c>
      <c r="L87" s="4"/>
      <c r="M87" s="114" t="s">
        <v>115</v>
      </c>
      <c r="N87" s="126" t="s">
        <v>155</v>
      </c>
      <c r="O87" s="89">
        <v>43841</v>
      </c>
      <c r="P87" s="92" t="s">
        <v>62</v>
      </c>
      <c r="Q87" s="78" t="s">
        <v>33</v>
      </c>
      <c r="R87" s="163">
        <v>1683</v>
      </c>
      <c r="S87" s="104"/>
      <c r="T87" s="22"/>
      <c r="U87" s="22"/>
      <c r="V87" s="91" t="s">
        <v>47</v>
      </c>
      <c r="X87"/>
      <c r="Y87" s="69"/>
      <c r="Z87"/>
      <c r="AA87" s="33"/>
    </row>
    <row r="88" spans="1:27" s="73" customFormat="1" ht="30" hidden="1">
      <c r="A88" s="79">
        <v>70</v>
      </c>
      <c r="B88" s="92" t="s">
        <v>25</v>
      </c>
      <c r="C88" s="92">
        <v>2</v>
      </c>
      <c r="D88" s="92" t="s">
        <v>32</v>
      </c>
      <c r="E88" s="92" t="s">
        <v>26</v>
      </c>
      <c r="F88" s="92">
        <v>64</v>
      </c>
      <c r="G88" s="87" t="s">
        <v>79</v>
      </c>
      <c r="H88" s="93">
        <v>5.0999999999999996</v>
      </c>
      <c r="I88" s="4">
        <v>139</v>
      </c>
      <c r="J88" s="4">
        <f>124+8</f>
        <v>132</v>
      </c>
      <c r="K88" s="93">
        <v>5.0999999999999996</v>
      </c>
      <c r="L88" s="4"/>
      <c r="M88" s="114" t="s">
        <v>115</v>
      </c>
      <c r="N88" s="126" t="s">
        <v>155</v>
      </c>
      <c r="O88" s="89">
        <v>43841</v>
      </c>
      <c r="P88" s="92" t="s">
        <v>62</v>
      </c>
      <c r="Q88" s="78" t="s">
        <v>33</v>
      </c>
      <c r="R88" s="163">
        <v>1937</v>
      </c>
      <c r="S88" s="104"/>
      <c r="T88" s="22"/>
      <c r="U88" s="22"/>
      <c r="V88" s="91" t="s">
        <v>48</v>
      </c>
      <c r="X88"/>
      <c r="Y88" s="69"/>
      <c r="Z88"/>
      <c r="AA88" s="33"/>
    </row>
    <row r="89" spans="1:27" s="73" customFormat="1" ht="30" hidden="1">
      <c r="A89" s="79">
        <v>71</v>
      </c>
      <c r="B89" s="92" t="s">
        <v>25</v>
      </c>
      <c r="C89" s="92">
        <v>2</v>
      </c>
      <c r="D89" s="92" t="s">
        <v>32</v>
      </c>
      <c r="E89" s="92" t="s">
        <v>29</v>
      </c>
      <c r="F89" s="92">
        <v>75</v>
      </c>
      <c r="G89" s="87" t="s">
        <v>67</v>
      </c>
      <c r="H89" s="93">
        <v>2.7</v>
      </c>
      <c r="I89" s="4">
        <v>93</v>
      </c>
      <c r="J89" s="4">
        <f>81+5</f>
        <v>86</v>
      </c>
      <c r="K89" s="93">
        <v>2.7</v>
      </c>
      <c r="L89" s="4"/>
      <c r="M89" s="114" t="s">
        <v>115</v>
      </c>
      <c r="N89" s="88" t="s">
        <v>155</v>
      </c>
      <c r="O89" s="89">
        <v>43841</v>
      </c>
      <c r="P89" s="92" t="s">
        <v>62</v>
      </c>
      <c r="Q89" s="78" t="s">
        <v>33</v>
      </c>
      <c r="R89" s="163">
        <v>8097</v>
      </c>
      <c r="S89" s="104"/>
      <c r="T89" s="22"/>
      <c r="U89" s="22"/>
      <c r="V89" s="91" t="s">
        <v>48</v>
      </c>
      <c r="X89"/>
      <c r="Y89" s="69"/>
      <c r="Z89"/>
      <c r="AA89" s="33"/>
    </row>
    <row r="90" spans="1:27" s="73" customFormat="1" ht="45" hidden="1">
      <c r="A90" s="79">
        <v>72</v>
      </c>
      <c r="B90" s="92" t="s">
        <v>25</v>
      </c>
      <c r="C90" s="92">
        <v>2</v>
      </c>
      <c r="D90" s="92" t="s">
        <v>125</v>
      </c>
      <c r="E90" s="92" t="s">
        <v>26</v>
      </c>
      <c r="F90" s="92">
        <v>52</v>
      </c>
      <c r="G90" s="87" t="s">
        <v>71</v>
      </c>
      <c r="H90" s="93">
        <v>1.8</v>
      </c>
      <c r="I90" s="4">
        <v>31</v>
      </c>
      <c r="J90" s="4">
        <v>29</v>
      </c>
      <c r="K90" s="103">
        <v>1.8</v>
      </c>
      <c r="L90" s="93"/>
      <c r="M90" s="114" t="s">
        <v>115</v>
      </c>
      <c r="N90" s="88" t="s">
        <v>240</v>
      </c>
      <c r="O90" s="89">
        <v>43850</v>
      </c>
      <c r="P90" s="92" t="s">
        <v>62</v>
      </c>
      <c r="Q90" s="78" t="s">
        <v>33</v>
      </c>
      <c r="R90" s="163">
        <v>209</v>
      </c>
      <c r="S90" s="104"/>
      <c r="T90" s="22"/>
      <c r="U90" s="22"/>
      <c r="V90" s="91"/>
      <c r="X90"/>
      <c r="Y90" s="69"/>
      <c r="Z90"/>
      <c r="AA90" s="33"/>
    </row>
    <row r="91" spans="1:27" s="73" customFormat="1" ht="45" hidden="1">
      <c r="A91" s="79">
        <v>73</v>
      </c>
      <c r="B91" s="92" t="s">
        <v>25</v>
      </c>
      <c r="C91" s="92">
        <v>2</v>
      </c>
      <c r="D91" s="92" t="s">
        <v>125</v>
      </c>
      <c r="E91" s="92" t="s">
        <v>26</v>
      </c>
      <c r="F91" s="92">
        <v>53</v>
      </c>
      <c r="G91" s="87" t="s">
        <v>72</v>
      </c>
      <c r="H91" s="93">
        <v>3</v>
      </c>
      <c r="I91" s="4">
        <v>46</v>
      </c>
      <c r="J91" s="4">
        <v>41</v>
      </c>
      <c r="K91" s="103">
        <v>3</v>
      </c>
      <c r="L91" s="93"/>
      <c r="M91" s="114" t="s">
        <v>115</v>
      </c>
      <c r="N91" s="88" t="s">
        <v>240</v>
      </c>
      <c r="O91" s="89">
        <v>43850</v>
      </c>
      <c r="P91" s="92" t="s">
        <v>62</v>
      </c>
      <c r="Q91" s="78" t="s">
        <v>33</v>
      </c>
      <c r="R91" s="163">
        <v>294</v>
      </c>
      <c r="S91" s="104"/>
      <c r="T91" s="22"/>
      <c r="U91" s="22"/>
      <c r="V91" s="91"/>
      <c r="X91"/>
      <c r="Y91" s="69"/>
      <c r="Z91"/>
      <c r="AA91" s="33"/>
    </row>
    <row r="92" spans="1:27" s="73" customFormat="1">
      <c r="A92" s="79"/>
      <c r="B92" s="447" t="s">
        <v>25</v>
      </c>
      <c r="C92" s="448"/>
      <c r="D92" s="92" t="s">
        <v>286</v>
      </c>
      <c r="E92" s="92"/>
      <c r="F92" s="92"/>
      <c r="G92" s="87"/>
      <c r="H92" s="93"/>
      <c r="I92" s="4"/>
      <c r="J92" s="163">
        <f>J78+J79</f>
        <v>481</v>
      </c>
      <c r="K92" s="103"/>
      <c r="L92" s="93"/>
      <c r="M92" s="114"/>
      <c r="N92" s="88"/>
      <c r="O92" s="89"/>
      <c r="P92" s="92" t="s">
        <v>62</v>
      </c>
      <c r="Q92" s="78" t="s">
        <v>52</v>
      </c>
      <c r="R92" s="163">
        <f>R78+R79</f>
        <v>18115</v>
      </c>
      <c r="S92" s="104"/>
      <c r="T92" s="22"/>
      <c r="U92" s="22"/>
      <c r="V92" s="91"/>
      <c r="X92"/>
      <c r="Y92" s="69"/>
      <c r="Z92"/>
      <c r="AA92" s="33"/>
    </row>
    <row r="93" spans="1:27" s="73" customFormat="1">
      <c r="A93" s="79"/>
      <c r="B93" s="449"/>
      <c r="C93" s="450"/>
      <c r="D93" s="443" t="s">
        <v>284</v>
      </c>
      <c r="E93" s="92"/>
      <c r="F93" s="92"/>
      <c r="G93" s="87"/>
      <c r="H93" s="93"/>
      <c r="I93" s="4"/>
      <c r="J93" s="163">
        <f>J86+J87+J88+J89+J90</f>
        <v>670</v>
      </c>
      <c r="K93" s="103"/>
      <c r="L93" s="93"/>
      <c r="M93" s="114"/>
      <c r="N93" s="88"/>
      <c r="O93" s="89"/>
      <c r="P93" s="92" t="s">
        <v>62</v>
      </c>
      <c r="Q93" s="78" t="s">
        <v>33</v>
      </c>
      <c r="R93" s="163">
        <f>R86+R87+R88+R89+R90</f>
        <v>14389</v>
      </c>
      <c r="S93" s="104"/>
      <c r="T93" s="22"/>
      <c r="U93" s="22"/>
      <c r="V93" s="91"/>
      <c r="X93"/>
      <c r="Y93" s="69"/>
      <c r="Z93"/>
      <c r="AA93" s="33"/>
    </row>
    <row r="94" spans="1:27" s="73" customFormat="1">
      <c r="A94" s="79"/>
      <c r="B94" s="449"/>
      <c r="C94" s="450"/>
      <c r="D94" s="444"/>
      <c r="E94" s="92"/>
      <c r="F94" s="92"/>
      <c r="G94" s="87"/>
      <c r="H94" s="93"/>
      <c r="I94" s="4"/>
      <c r="J94" s="163">
        <f>J80+J81+J82+J83+J84+J85</f>
        <v>238</v>
      </c>
      <c r="K94" s="103"/>
      <c r="L94" s="93"/>
      <c r="M94" s="114"/>
      <c r="N94" s="88"/>
      <c r="O94" s="89"/>
      <c r="P94" s="92" t="s">
        <v>62</v>
      </c>
      <c r="Q94" s="78" t="s">
        <v>51</v>
      </c>
      <c r="R94" s="163">
        <f>R80+R81+R82+R83+R84+R85</f>
        <v>908</v>
      </c>
      <c r="S94" s="104"/>
      <c r="T94" s="22"/>
      <c r="U94" s="22"/>
      <c r="V94" s="91"/>
      <c r="X94"/>
      <c r="Y94" s="69"/>
      <c r="Z94"/>
      <c r="AA94" s="33"/>
    </row>
    <row r="95" spans="1:27" s="73" customFormat="1">
      <c r="A95" s="79"/>
      <c r="B95" s="451"/>
      <c r="C95" s="452"/>
      <c r="D95" s="92" t="s">
        <v>316</v>
      </c>
      <c r="E95" s="92"/>
      <c r="F95" s="92"/>
      <c r="G95" s="87"/>
      <c r="H95" s="93"/>
      <c r="I95" s="4"/>
      <c r="J95" s="163">
        <f>J91+J90</f>
        <v>70</v>
      </c>
      <c r="K95" s="103"/>
      <c r="L95" s="93"/>
      <c r="M95" s="114"/>
      <c r="N95" s="88"/>
      <c r="O95" s="89"/>
      <c r="P95" s="92" t="s">
        <v>62</v>
      </c>
      <c r="Q95" s="78" t="s">
        <v>33</v>
      </c>
      <c r="R95" s="163">
        <f>R91+R90</f>
        <v>503</v>
      </c>
      <c r="S95" s="181"/>
      <c r="T95" s="22"/>
      <c r="U95" s="22"/>
      <c r="V95" s="91"/>
      <c r="X95"/>
      <c r="Y95" s="69"/>
      <c r="Z95"/>
      <c r="AA95" s="33"/>
    </row>
    <row r="96" spans="1:27" s="73" customFormat="1" ht="30" hidden="1">
      <c r="A96" s="79">
        <v>74</v>
      </c>
      <c r="B96" s="92" t="s">
        <v>6</v>
      </c>
      <c r="C96" s="92">
        <v>4</v>
      </c>
      <c r="D96" s="92" t="s">
        <v>31</v>
      </c>
      <c r="E96" s="92" t="s">
        <v>26</v>
      </c>
      <c r="F96" s="92">
        <v>18</v>
      </c>
      <c r="G96" s="87" t="s">
        <v>77</v>
      </c>
      <c r="H96" s="93">
        <v>2.4</v>
      </c>
      <c r="I96" s="4">
        <v>18</v>
      </c>
      <c r="J96" s="4"/>
      <c r="K96" s="93">
        <v>2.4</v>
      </c>
      <c r="L96" s="4"/>
      <c r="M96" s="114" t="s">
        <v>115</v>
      </c>
      <c r="N96" s="88" t="s">
        <v>160</v>
      </c>
      <c r="O96" s="89">
        <v>43834</v>
      </c>
      <c r="P96" s="92" t="s">
        <v>62</v>
      </c>
      <c r="Q96" s="78" t="s">
        <v>33</v>
      </c>
      <c r="R96" s="163"/>
      <c r="S96" s="104"/>
      <c r="T96" s="22"/>
      <c r="U96" s="22"/>
      <c r="V96" s="91" t="s">
        <v>49</v>
      </c>
      <c r="X96"/>
      <c r="Y96" s="69"/>
      <c r="Z96"/>
      <c r="AA96" s="33"/>
    </row>
    <row r="97" spans="1:27" s="73" customFormat="1" ht="30" hidden="1">
      <c r="A97" s="79">
        <v>75</v>
      </c>
      <c r="B97" s="92" t="s">
        <v>6</v>
      </c>
      <c r="C97" s="92">
        <v>4</v>
      </c>
      <c r="D97" s="92" t="s">
        <v>31</v>
      </c>
      <c r="E97" s="92" t="s">
        <v>26</v>
      </c>
      <c r="F97" s="92">
        <v>18</v>
      </c>
      <c r="G97" s="87" t="s">
        <v>89</v>
      </c>
      <c r="H97" s="93">
        <v>1.7</v>
      </c>
      <c r="I97" s="4">
        <v>16</v>
      </c>
      <c r="J97" s="4"/>
      <c r="K97" s="93">
        <v>1.7</v>
      </c>
      <c r="L97" s="4"/>
      <c r="M97" s="114" t="s">
        <v>115</v>
      </c>
      <c r="N97" s="88" t="s">
        <v>160</v>
      </c>
      <c r="O97" s="89">
        <v>43834</v>
      </c>
      <c r="P97" s="92" t="s">
        <v>62</v>
      </c>
      <c r="Q97" s="78" t="s">
        <v>33</v>
      </c>
      <c r="R97" s="163"/>
      <c r="S97" s="104"/>
      <c r="T97" s="22"/>
      <c r="U97" s="22"/>
      <c r="V97" s="91" t="s">
        <v>49</v>
      </c>
      <c r="X97"/>
      <c r="Y97" s="69"/>
      <c r="Z97"/>
      <c r="AA97" s="33"/>
    </row>
    <row r="98" spans="1:27" s="73" customFormat="1" ht="30" hidden="1">
      <c r="A98" s="79">
        <v>76</v>
      </c>
      <c r="B98" s="92" t="s">
        <v>6</v>
      </c>
      <c r="C98" s="92">
        <v>2</v>
      </c>
      <c r="D98" s="92" t="s">
        <v>31</v>
      </c>
      <c r="E98" s="92" t="s">
        <v>26</v>
      </c>
      <c r="F98" s="92">
        <v>4</v>
      </c>
      <c r="G98" s="87" t="s">
        <v>161</v>
      </c>
      <c r="H98" s="93">
        <v>0.8</v>
      </c>
      <c r="I98" s="4">
        <v>8</v>
      </c>
      <c r="J98" s="4"/>
      <c r="K98" s="93">
        <v>0.8</v>
      </c>
      <c r="L98" s="4"/>
      <c r="M98" s="114" t="s">
        <v>115</v>
      </c>
      <c r="N98" s="88" t="s">
        <v>160</v>
      </c>
      <c r="O98" s="89">
        <v>43834</v>
      </c>
      <c r="P98" s="92" t="s">
        <v>62</v>
      </c>
      <c r="Q98" s="78" t="s">
        <v>56</v>
      </c>
      <c r="R98" s="163"/>
      <c r="S98" s="104"/>
      <c r="T98" s="22"/>
      <c r="U98" s="22"/>
      <c r="V98" s="91" t="s">
        <v>49</v>
      </c>
      <c r="X98"/>
      <c r="Y98" s="69"/>
      <c r="Z98"/>
      <c r="AA98" s="33"/>
    </row>
    <row r="99" spans="1:27" s="73" customFormat="1" ht="30" hidden="1">
      <c r="A99" s="79">
        <v>77</v>
      </c>
      <c r="B99" s="92" t="s">
        <v>6</v>
      </c>
      <c r="C99" s="92">
        <v>2</v>
      </c>
      <c r="D99" s="92" t="s">
        <v>31</v>
      </c>
      <c r="E99" s="92" t="s">
        <v>26</v>
      </c>
      <c r="F99" s="92">
        <v>4</v>
      </c>
      <c r="G99" s="87" t="s">
        <v>162</v>
      </c>
      <c r="H99" s="93">
        <v>1.7</v>
      </c>
      <c r="I99" s="4">
        <v>6</v>
      </c>
      <c r="J99" s="4"/>
      <c r="K99" s="93">
        <v>1.7</v>
      </c>
      <c r="L99" s="4"/>
      <c r="M99" s="114" t="s">
        <v>115</v>
      </c>
      <c r="N99" s="88" t="s">
        <v>160</v>
      </c>
      <c r="O99" s="89">
        <v>43834</v>
      </c>
      <c r="P99" s="92" t="s">
        <v>62</v>
      </c>
      <c r="Q99" s="78" t="s">
        <v>56</v>
      </c>
      <c r="R99" s="163"/>
      <c r="S99" s="104"/>
      <c r="T99" s="22"/>
      <c r="U99" s="22"/>
      <c r="V99" s="91" t="s">
        <v>49</v>
      </c>
      <c r="X99"/>
      <c r="Y99" s="69"/>
      <c r="Z99"/>
      <c r="AA99" s="33"/>
    </row>
    <row r="100" spans="1:27" s="73" customFormat="1" ht="30" hidden="1">
      <c r="A100" s="79">
        <v>78</v>
      </c>
      <c r="B100" s="92" t="s">
        <v>6</v>
      </c>
      <c r="C100" s="92">
        <v>2</v>
      </c>
      <c r="D100" s="92" t="s">
        <v>31</v>
      </c>
      <c r="E100" s="92" t="s">
        <v>26</v>
      </c>
      <c r="F100" s="92">
        <v>7</v>
      </c>
      <c r="G100" s="87" t="s">
        <v>74</v>
      </c>
      <c r="H100" s="93">
        <v>0.6</v>
      </c>
      <c r="I100" s="4">
        <v>2</v>
      </c>
      <c r="J100" s="4"/>
      <c r="K100" s="93">
        <v>0.6</v>
      </c>
      <c r="L100" s="4"/>
      <c r="M100" s="114" t="s">
        <v>115</v>
      </c>
      <c r="N100" s="88" t="s">
        <v>160</v>
      </c>
      <c r="O100" s="89">
        <v>43834</v>
      </c>
      <c r="P100" s="92" t="s">
        <v>62</v>
      </c>
      <c r="Q100" s="78" t="s">
        <v>56</v>
      </c>
      <c r="R100" s="163"/>
      <c r="S100" s="104"/>
      <c r="T100" s="22"/>
      <c r="U100" s="22"/>
      <c r="V100" s="91" t="s">
        <v>48</v>
      </c>
      <c r="X100"/>
      <c r="Y100" s="69"/>
      <c r="Z100"/>
      <c r="AA100" s="33"/>
    </row>
    <row r="101" spans="1:27" s="73" customFormat="1" ht="30" hidden="1">
      <c r="A101" s="79">
        <v>79</v>
      </c>
      <c r="B101" s="92" t="s">
        <v>6</v>
      </c>
      <c r="C101" s="92">
        <v>2</v>
      </c>
      <c r="D101" s="92" t="s">
        <v>31</v>
      </c>
      <c r="E101" s="92" t="s">
        <v>26</v>
      </c>
      <c r="F101" s="92">
        <v>8</v>
      </c>
      <c r="G101" s="87" t="s">
        <v>68</v>
      </c>
      <c r="H101" s="93">
        <v>1.9</v>
      </c>
      <c r="I101" s="4">
        <v>21</v>
      </c>
      <c r="J101" s="4">
        <v>1</v>
      </c>
      <c r="K101" s="93">
        <v>1.9</v>
      </c>
      <c r="L101" s="4"/>
      <c r="M101" s="114" t="s">
        <v>115</v>
      </c>
      <c r="N101" s="88" t="s">
        <v>160</v>
      </c>
      <c r="O101" s="89">
        <v>43834</v>
      </c>
      <c r="P101" s="92" t="s">
        <v>62</v>
      </c>
      <c r="Q101" s="78" t="s">
        <v>56</v>
      </c>
      <c r="R101" s="163"/>
      <c r="S101" s="104"/>
      <c r="T101" s="22"/>
      <c r="U101" s="22"/>
      <c r="V101" s="91"/>
      <c r="X101"/>
      <c r="Y101" s="69"/>
      <c r="Z101"/>
      <c r="AA101" s="33"/>
    </row>
    <row r="102" spans="1:27" s="73" customFormat="1" ht="30" hidden="1">
      <c r="A102" s="79">
        <v>80</v>
      </c>
      <c r="B102" s="92" t="s">
        <v>6</v>
      </c>
      <c r="C102" s="92">
        <v>4</v>
      </c>
      <c r="D102" s="92" t="s">
        <v>23</v>
      </c>
      <c r="E102" s="92" t="s">
        <v>26</v>
      </c>
      <c r="F102" s="92">
        <v>18</v>
      </c>
      <c r="G102" s="87" t="s">
        <v>78</v>
      </c>
      <c r="H102" s="93">
        <v>1.8</v>
      </c>
      <c r="I102" s="4">
        <v>41</v>
      </c>
      <c r="J102" s="4"/>
      <c r="K102" s="93">
        <v>1.8</v>
      </c>
      <c r="L102" s="4"/>
      <c r="M102" s="114" t="s">
        <v>115</v>
      </c>
      <c r="N102" s="88" t="s">
        <v>163</v>
      </c>
      <c r="O102" s="89">
        <v>43834</v>
      </c>
      <c r="P102" s="92" t="s">
        <v>62</v>
      </c>
      <c r="Q102" s="78" t="s">
        <v>33</v>
      </c>
      <c r="R102" s="163"/>
      <c r="S102" s="104"/>
      <c r="T102" s="22"/>
      <c r="U102" s="22"/>
      <c r="V102" s="91"/>
      <c r="X102"/>
      <c r="Y102" s="69"/>
      <c r="Z102"/>
      <c r="AA102" s="33"/>
    </row>
    <row r="103" spans="1:27" s="73" customFormat="1" ht="30" hidden="1">
      <c r="A103" s="79">
        <v>81</v>
      </c>
      <c r="B103" s="92" t="s">
        <v>6</v>
      </c>
      <c r="C103" s="92">
        <v>4</v>
      </c>
      <c r="D103" s="92" t="s">
        <v>23</v>
      </c>
      <c r="E103" s="92" t="s">
        <v>26</v>
      </c>
      <c r="F103" s="92">
        <v>18</v>
      </c>
      <c r="G103" s="87" t="s">
        <v>79</v>
      </c>
      <c r="H103" s="93">
        <v>1.9</v>
      </c>
      <c r="I103" s="4">
        <v>34</v>
      </c>
      <c r="J103" s="4"/>
      <c r="K103" s="93">
        <v>1.9</v>
      </c>
      <c r="L103" s="4"/>
      <c r="M103" s="114" t="s">
        <v>115</v>
      </c>
      <c r="N103" s="88" t="s">
        <v>163</v>
      </c>
      <c r="O103" s="89">
        <v>43834</v>
      </c>
      <c r="P103" s="92" t="s">
        <v>62</v>
      </c>
      <c r="Q103" s="78" t="s">
        <v>33</v>
      </c>
      <c r="R103" s="163"/>
      <c r="S103" s="104"/>
      <c r="T103" s="22"/>
      <c r="U103" s="22"/>
      <c r="V103" s="91"/>
      <c r="X103"/>
      <c r="Y103" s="69"/>
      <c r="Z103"/>
      <c r="AA103" s="33"/>
    </row>
    <row r="104" spans="1:27" s="73" customFormat="1" ht="30" hidden="1">
      <c r="A104" s="79">
        <v>82</v>
      </c>
      <c r="B104" s="92" t="s">
        <v>6</v>
      </c>
      <c r="C104" s="92">
        <v>2</v>
      </c>
      <c r="D104" s="92" t="s">
        <v>23</v>
      </c>
      <c r="E104" s="92" t="s">
        <v>26</v>
      </c>
      <c r="F104" s="92">
        <v>3</v>
      </c>
      <c r="G104" s="87" t="s">
        <v>72</v>
      </c>
      <c r="H104" s="93">
        <v>1.3</v>
      </c>
      <c r="I104" s="4">
        <v>21</v>
      </c>
      <c r="J104" s="4"/>
      <c r="K104" s="4">
        <v>1.3</v>
      </c>
      <c r="L104" s="4"/>
      <c r="M104" s="114" t="s">
        <v>115</v>
      </c>
      <c r="N104" s="88" t="s">
        <v>163</v>
      </c>
      <c r="O104" s="89">
        <v>43834</v>
      </c>
      <c r="P104" s="92" t="s">
        <v>62</v>
      </c>
      <c r="Q104" s="78" t="s">
        <v>56</v>
      </c>
      <c r="R104" s="163"/>
      <c r="S104" s="104"/>
      <c r="T104" s="22"/>
      <c r="U104" s="22"/>
      <c r="V104" s="91" t="s">
        <v>48</v>
      </c>
      <c r="X104"/>
      <c r="Y104" s="69"/>
      <c r="Z104"/>
      <c r="AA104" s="33"/>
    </row>
    <row r="105" spans="1:27" s="73" customFormat="1" ht="30" hidden="1">
      <c r="A105" s="79">
        <v>83</v>
      </c>
      <c r="B105" s="92" t="s">
        <v>6</v>
      </c>
      <c r="C105" s="92">
        <v>4</v>
      </c>
      <c r="D105" s="92" t="s">
        <v>23</v>
      </c>
      <c r="E105" s="92" t="s">
        <v>26</v>
      </c>
      <c r="F105" s="92">
        <v>10</v>
      </c>
      <c r="G105" s="87" t="s">
        <v>67</v>
      </c>
      <c r="H105" s="93">
        <v>2.5</v>
      </c>
      <c r="I105" s="4">
        <v>32</v>
      </c>
      <c r="J105" s="4">
        <v>32</v>
      </c>
      <c r="K105" s="93">
        <v>2.5</v>
      </c>
      <c r="L105" s="4"/>
      <c r="M105" s="114" t="s">
        <v>115</v>
      </c>
      <c r="N105" s="88" t="s">
        <v>163</v>
      </c>
      <c r="O105" s="89">
        <v>43834</v>
      </c>
      <c r="P105" s="92" t="s">
        <v>62</v>
      </c>
      <c r="Q105" s="78" t="s">
        <v>33</v>
      </c>
      <c r="R105" s="163"/>
      <c r="S105" s="104"/>
      <c r="T105" s="22"/>
      <c r="U105" s="22"/>
      <c r="V105" s="91" t="s">
        <v>49</v>
      </c>
      <c r="X105"/>
      <c r="Y105" s="69"/>
      <c r="Z105"/>
      <c r="AA105" s="33"/>
    </row>
    <row r="106" spans="1:27" s="73" customFormat="1" ht="30" hidden="1">
      <c r="A106" s="79">
        <v>84</v>
      </c>
      <c r="B106" s="92" t="s">
        <v>6</v>
      </c>
      <c r="C106" s="92">
        <v>2</v>
      </c>
      <c r="D106" s="92" t="s">
        <v>167</v>
      </c>
      <c r="E106" s="92" t="s">
        <v>26</v>
      </c>
      <c r="F106" s="92">
        <v>3</v>
      </c>
      <c r="G106" s="87" t="s">
        <v>85</v>
      </c>
      <c r="H106" s="93">
        <v>2.1</v>
      </c>
      <c r="I106" s="4">
        <v>53</v>
      </c>
      <c r="J106" s="4">
        <v>53</v>
      </c>
      <c r="K106" s="93">
        <v>2.1</v>
      </c>
      <c r="L106" s="4"/>
      <c r="M106" s="114" t="s">
        <v>115</v>
      </c>
      <c r="N106" s="88" t="s">
        <v>168</v>
      </c>
      <c r="O106" s="89">
        <v>43841</v>
      </c>
      <c r="P106" s="92" t="s">
        <v>62</v>
      </c>
      <c r="Q106" s="78" t="s">
        <v>56</v>
      </c>
      <c r="R106" s="163"/>
      <c r="S106" s="104"/>
      <c r="T106" s="22"/>
      <c r="U106" s="22"/>
      <c r="V106" s="91" t="s">
        <v>50</v>
      </c>
      <c r="X106"/>
      <c r="Y106" s="69"/>
      <c r="Z106"/>
      <c r="AA106" s="33"/>
    </row>
    <row r="107" spans="1:27" s="73" customFormat="1" ht="30" hidden="1">
      <c r="A107" s="79">
        <v>85</v>
      </c>
      <c r="B107" s="92" t="s">
        <v>6</v>
      </c>
      <c r="C107" s="92">
        <v>2</v>
      </c>
      <c r="D107" s="92" t="s">
        <v>24</v>
      </c>
      <c r="E107" s="92" t="s">
        <v>28</v>
      </c>
      <c r="F107" s="92">
        <v>3</v>
      </c>
      <c r="G107" s="87" t="s">
        <v>75</v>
      </c>
      <c r="H107" s="93">
        <v>2.7</v>
      </c>
      <c r="I107" s="4">
        <v>62</v>
      </c>
      <c r="J107" s="4">
        <v>62</v>
      </c>
      <c r="K107" s="93">
        <v>2.7</v>
      </c>
      <c r="L107" s="4"/>
      <c r="M107" s="114" t="s">
        <v>115</v>
      </c>
      <c r="N107" s="88" t="s">
        <v>168</v>
      </c>
      <c r="O107" s="89">
        <v>43841</v>
      </c>
      <c r="P107" s="92" t="s">
        <v>62</v>
      </c>
      <c r="Q107" s="78" t="s">
        <v>56</v>
      </c>
      <c r="R107" s="163"/>
      <c r="S107" s="104"/>
      <c r="T107" s="22"/>
      <c r="U107" s="22"/>
      <c r="V107" s="91" t="s">
        <v>50</v>
      </c>
      <c r="X107"/>
      <c r="Y107" s="69"/>
      <c r="Z107"/>
      <c r="AA107" s="33"/>
    </row>
    <row r="108" spans="1:27" s="73" customFormat="1" ht="30" hidden="1">
      <c r="A108" s="79">
        <v>86</v>
      </c>
      <c r="B108" s="92" t="s">
        <v>6</v>
      </c>
      <c r="C108" s="92">
        <v>4</v>
      </c>
      <c r="D108" s="92" t="s">
        <v>22</v>
      </c>
      <c r="E108" s="92" t="s">
        <v>26</v>
      </c>
      <c r="F108" s="92">
        <v>14</v>
      </c>
      <c r="G108" s="87" t="s">
        <v>71</v>
      </c>
      <c r="H108" s="93">
        <v>5.9</v>
      </c>
      <c r="I108" s="4">
        <v>96</v>
      </c>
      <c r="J108" s="4">
        <f>85+2</f>
        <v>87</v>
      </c>
      <c r="K108" s="93">
        <v>5.9</v>
      </c>
      <c r="L108" s="4"/>
      <c r="M108" s="114" t="s">
        <v>115</v>
      </c>
      <c r="N108" s="88" t="s">
        <v>169</v>
      </c>
      <c r="O108" s="89">
        <v>43841</v>
      </c>
      <c r="P108" s="92" t="s">
        <v>62</v>
      </c>
      <c r="Q108" s="78" t="s">
        <v>33</v>
      </c>
      <c r="R108" s="163">
        <v>4367</v>
      </c>
      <c r="S108" s="104"/>
      <c r="T108" s="22"/>
      <c r="U108" s="22"/>
      <c r="V108" s="91" t="s">
        <v>50</v>
      </c>
      <c r="X108"/>
      <c r="Y108" s="69"/>
      <c r="Z108"/>
      <c r="AA108" s="33"/>
    </row>
    <row r="109" spans="1:27" s="73" customFormat="1" ht="30" hidden="1">
      <c r="A109" s="79">
        <v>87</v>
      </c>
      <c r="B109" s="92" t="s">
        <v>6</v>
      </c>
      <c r="C109" s="92">
        <v>4</v>
      </c>
      <c r="D109" s="92" t="s">
        <v>22</v>
      </c>
      <c r="E109" s="92" t="s">
        <v>26</v>
      </c>
      <c r="F109" s="92">
        <v>22</v>
      </c>
      <c r="G109" s="87" t="s">
        <v>77</v>
      </c>
      <c r="H109" s="93">
        <v>3.7</v>
      </c>
      <c r="I109" s="4">
        <v>134</v>
      </c>
      <c r="J109" s="4">
        <f>97+6</f>
        <v>103</v>
      </c>
      <c r="K109" s="93">
        <v>3.7</v>
      </c>
      <c r="L109" s="4"/>
      <c r="M109" s="114" t="s">
        <v>115</v>
      </c>
      <c r="N109" s="88" t="s">
        <v>169</v>
      </c>
      <c r="O109" s="89">
        <v>43841</v>
      </c>
      <c r="P109" s="92" t="s">
        <v>62</v>
      </c>
      <c r="Q109" s="78" t="s">
        <v>33</v>
      </c>
      <c r="R109" s="163">
        <v>2716</v>
      </c>
      <c r="S109" s="104"/>
      <c r="T109" s="22"/>
      <c r="U109" s="22"/>
      <c r="V109" s="91" t="s">
        <v>50</v>
      </c>
      <c r="X109"/>
      <c r="Y109" s="69"/>
      <c r="Z109"/>
      <c r="AA109" s="33"/>
    </row>
    <row r="110" spans="1:27" s="73" customFormat="1" ht="30" hidden="1">
      <c r="A110" s="79">
        <v>88</v>
      </c>
      <c r="B110" s="92" t="s">
        <v>6</v>
      </c>
      <c r="C110" s="92">
        <v>4</v>
      </c>
      <c r="D110" s="92" t="s">
        <v>22</v>
      </c>
      <c r="E110" s="92" t="s">
        <v>26</v>
      </c>
      <c r="F110" s="92">
        <v>28</v>
      </c>
      <c r="G110" s="87" t="s">
        <v>72</v>
      </c>
      <c r="H110" s="93">
        <v>4</v>
      </c>
      <c r="I110" s="4">
        <v>105</v>
      </c>
      <c r="J110" s="4">
        <f>85+6</f>
        <v>91</v>
      </c>
      <c r="K110" s="93">
        <v>4</v>
      </c>
      <c r="L110" s="4"/>
      <c r="M110" s="114" t="s">
        <v>115</v>
      </c>
      <c r="N110" s="88" t="s">
        <v>169</v>
      </c>
      <c r="O110" s="89">
        <v>43841</v>
      </c>
      <c r="P110" s="92" t="s">
        <v>62</v>
      </c>
      <c r="Q110" s="78" t="s">
        <v>33</v>
      </c>
      <c r="R110" s="163">
        <v>4123</v>
      </c>
      <c r="S110" s="104"/>
      <c r="T110" s="22"/>
      <c r="U110" s="22"/>
      <c r="V110" s="91"/>
      <c r="X110"/>
      <c r="Y110" s="69"/>
      <c r="Z110"/>
      <c r="AA110" s="33"/>
    </row>
    <row r="111" spans="1:27" s="73" customFormat="1" ht="30" hidden="1">
      <c r="A111" s="79">
        <v>89</v>
      </c>
      <c r="B111" s="92" t="s">
        <v>6</v>
      </c>
      <c r="C111" s="92">
        <v>4</v>
      </c>
      <c r="D111" s="92" t="s">
        <v>22</v>
      </c>
      <c r="E111" s="92" t="s">
        <v>26</v>
      </c>
      <c r="F111" s="92">
        <v>30</v>
      </c>
      <c r="G111" s="87" t="s">
        <v>71</v>
      </c>
      <c r="H111" s="93">
        <v>9.6</v>
      </c>
      <c r="I111" s="4">
        <v>313</v>
      </c>
      <c r="J111" s="4">
        <f>261+10</f>
        <v>271</v>
      </c>
      <c r="K111" s="93">
        <v>9.6</v>
      </c>
      <c r="L111" s="4"/>
      <c r="M111" s="114" t="s">
        <v>115</v>
      </c>
      <c r="N111" s="88" t="s">
        <v>169</v>
      </c>
      <c r="O111" s="89">
        <v>43841</v>
      </c>
      <c r="P111" s="92" t="s">
        <v>62</v>
      </c>
      <c r="Q111" s="78" t="s">
        <v>33</v>
      </c>
      <c r="R111" s="163">
        <v>9432</v>
      </c>
      <c r="S111" s="104"/>
      <c r="T111" s="22"/>
      <c r="U111" s="22"/>
      <c r="V111" s="91"/>
      <c r="X111"/>
      <c r="Y111" s="69"/>
      <c r="Z111"/>
      <c r="AA111" s="33"/>
    </row>
    <row r="112" spans="1:27" s="73" customFormat="1" ht="30" hidden="1">
      <c r="A112" s="79">
        <v>90</v>
      </c>
      <c r="B112" s="92" t="s">
        <v>6</v>
      </c>
      <c r="C112" s="92">
        <v>2</v>
      </c>
      <c r="D112" s="92" t="s">
        <v>22</v>
      </c>
      <c r="E112" s="92" t="s">
        <v>26</v>
      </c>
      <c r="F112" s="92">
        <v>4</v>
      </c>
      <c r="G112" s="87" t="s">
        <v>72</v>
      </c>
      <c r="H112" s="93">
        <v>4.3</v>
      </c>
      <c r="I112" s="4">
        <v>257</v>
      </c>
      <c r="J112" s="4">
        <f>227+9</f>
        <v>236</v>
      </c>
      <c r="K112" s="93">
        <v>4.3</v>
      </c>
      <c r="L112" s="4"/>
      <c r="M112" s="114" t="s">
        <v>115</v>
      </c>
      <c r="N112" s="88" t="s">
        <v>169</v>
      </c>
      <c r="O112" s="89">
        <v>43841</v>
      </c>
      <c r="P112" s="92" t="s">
        <v>62</v>
      </c>
      <c r="Q112" s="78" t="s">
        <v>56</v>
      </c>
      <c r="R112" s="163">
        <v>2827</v>
      </c>
      <c r="S112" s="104"/>
      <c r="T112" s="22"/>
      <c r="U112" s="22"/>
      <c r="V112" s="91"/>
      <c r="X112"/>
      <c r="Y112" s="69"/>
      <c r="Z112"/>
      <c r="AA112" s="33"/>
    </row>
    <row r="113" spans="1:27" s="73" customFormat="1" ht="30" hidden="1">
      <c r="A113" s="79">
        <v>91</v>
      </c>
      <c r="B113" s="92" t="s">
        <v>6</v>
      </c>
      <c r="C113" s="92">
        <v>4</v>
      </c>
      <c r="D113" s="92" t="s">
        <v>32</v>
      </c>
      <c r="E113" s="92" t="s">
        <v>129</v>
      </c>
      <c r="F113" s="92">
        <v>27</v>
      </c>
      <c r="G113" s="87" t="s">
        <v>67</v>
      </c>
      <c r="H113" s="93">
        <v>3.1</v>
      </c>
      <c r="I113" s="4">
        <v>114</v>
      </c>
      <c r="J113" s="4">
        <f>99+1</f>
        <v>100</v>
      </c>
      <c r="K113" s="93">
        <v>3.1</v>
      </c>
      <c r="L113" s="4"/>
      <c r="M113" s="114" t="s">
        <v>115</v>
      </c>
      <c r="N113" s="88" t="s">
        <v>170</v>
      </c>
      <c r="O113" s="89">
        <v>43834</v>
      </c>
      <c r="P113" s="92" t="s">
        <v>62</v>
      </c>
      <c r="Q113" s="78" t="s">
        <v>33</v>
      </c>
      <c r="R113" s="163">
        <v>498</v>
      </c>
      <c r="S113" s="104"/>
      <c r="T113" s="22"/>
      <c r="U113" s="22"/>
      <c r="V113" s="91"/>
      <c r="X113"/>
      <c r="Y113" s="69"/>
      <c r="Z113"/>
      <c r="AA113" s="33"/>
    </row>
    <row r="114" spans="1:27" s="73" customFormat="1" ht="30" hidden="1">
      <c r="A114" s="79">
        <v>92</v>
      </c>
      <c r="B114" s="92" t="s">
        <v>6</v>
      </c>
      <c r="C114" s="92">
        <v>4</v>
      </c>
      <c r="D114" s="92" t="s">
        <v>32</v>
      </c>
      <c r="E114" s="92" t="s">
        <v>26</v>
      </c>
      <c r="F114" s="92">
        <v>29</v>
      </c>
      <c r="G114" s="87" t="s">
        <v>75</v>
      </c>
      <c r="H114" s="17">
        <v>21.8</v>
      </c>
      <c r="I114" s="4">
        <v>485</v>
      </c>
      <c r="J114" s="4">
        <f>422+10</f>
        <v>432</v>
      </c>
      <c r="K114" s="17">
        <v>21.8</v>
      </c>
      <c r="L114" s="4"/>
      <c r="M114" s="114" t="s">
        <v>115</v>
      </c>
      <c r="N114" s="88" t="s">
        <v>170</v>
      </c>
      <c r="O114" s="89" t="s">
        <v>171</v>
      </c>
      <c r="P114" s="92" t="s">
        <v>62</v>
      </c>
      <c r="Q114" s="78" t="s">
        <v>33</v>
      </c>
      <c r="R114" s="163">
        <v>4774</v>
      </c>
      <c r="S114" s="104"/>
      <c r="T114" s="22"/>
      <c r="U114" s="22"/>
      <c r="V114" s="91" t="s">
        <v>51</v>
      </c>
      <c r="X114"/>
      <c r="Y114" s="69"/>
      <c r="Z114"/>
      <c r="AA114" s="33"/>
    </row>
    <row r="115" spans="1:27" s="73" customFormat="1" ht="30" hidden="1">
      <c r="A115" s="79">
        <v>93</v>
      </c>
      <c r="B115" s="92" t="s">
        <v>6</v>
      </c>
      <c r="C115" s="92">
        <v>2</v>
      </c>
      <c r="D115" s="92" t="s">
        <v>32</v>
      </c>
      <c r="E115" s="92" t="s">
        <v>26</v>
      </c>
      <c r="F115" s="92">
        <v>5</v>
      </c>
      <c r="G115" s="87" t="s">
        <v>67</v>
      </c>
      <c r="H115" s="17">
        <v>17.600000000000001</v>
      </c>
      <c r="I115" s="4">
        <v>443</v>
      </c>
      <c r="J115" s="4">
        <f>291+2</f>
        <v>293</v>
      </c>
      <c r="K115" s="17">
        <v>17.600000000000001</v>
      </c>
      <c r="L115" s="4"/>
      <c r="M115" s="114" t="s">
        <v>115</v>
      </c>
      <c r="N115" s="88" t="s">
        <v>172</v>
      </c>
      <c r="O115" s="89">
        <v>43841</v>
      </c>
      <c r="P115" s="92" t="s">
        <v>62</v>
      </c>
      <c r="Q115" s="78" t="s">
        <v>56</v>
      </c>
      <c r="R115" s="163">
        <v>1421</v>
      </c>
      <c r="S115" s="104"/>
      <c r="T115" s="22"/>
      <c r="U115" s="22"/>
      <c r="V115" s="91" t="s">
        <v>51</v>
      </c>
      <c r="X115"/>
      <c r="Y115" s="69"/>
      <c r="Z115"/>
      <c r="AA115" s="33"/>
    </row>
    <row r="116" spans="1:27" s="73" customFormat="1">
      <c r="A116" s="79"/>
      <c r="B116" s="447" t="s">
        <v>6</v>
      </c>
      <c r="C116" s="448"/>
      <c r="D116" s="443" t="s">
        <v>286</v>
      </c>
      <c r="E116" s="92"/>
      <c r="F116" s="92"/>
      <c r="G116" s="87"/>
      <c r="H116" s="17"/>
      <c r="I116" s="163"/>
      <c r="J116" s="163">
        <f>J108+J109+J110+J111</f>
        <v>552</v>
      </c>
      <c r="K116" s="17"/>
      <c r="L116" s="4"/>
      <c r="M116" s="114"/>
      <c r="N116" s="88"/>
      <c r="O116" s="89"/>
      <c r="P116" s="92" t="s">
        <v>62</v>
      </c>
      <c r="Q116" s="78" t="s">
        <v>33</v>
      </c>
      <c r="R116" s="163">
        <f>R108+R109+R110+R111</f>
        <v>20638</v>
      </c>
      <c r="S116" s="104"/>
      <c r="T116" s="22"/>
      <c r="U116" s="22"/>
      <c r="V116" s="91"/>
      <c r="X116"/>
      <c r="Y116" s="69"/>
      <c r="Z116"/>
      <c r="AA116" s="33"/>
    </row>
    <row r="117" spans="1:27" s="73" customFormat="1">
      <c r="A117" s="79"/>
      <c r="B117" s="449"/>
      <c r="C117" s="450"/>
      <c r="D117" s="444"/>
      <c r="E117" s="92"/>
      <c r="F117" s="92"/>
      <c r="G117" s="87"/>
      <c r="H117" s="17"/>
      <c r="I117" s="163"/>
      <c r="J117" s="163">
        <f>J112</f>
        <v>236</v>
      </c>
      <c r="K117" s="17"/>
      <c r="L117" s="4"/>
      <c r="M117" s="114"/>
      <c r="N117" s="88"/>
      <c r="O117" s="89"/>
      <c r="P117" s="92" t="s">
        <v>62</v>
      </c>
      <c r="Q117" s="78" t="s">
        <v>56</v>
      </c>
      <c r="R117" s="163">
        <f>R112</f>
        <v>2827</v>
      </c>
      <c r="S117" s="104"/>
      <c r="T117" s="22"/>
      <c r="U117" s="22"/>
      <c r="V117" s="91"/>
      <c r="X117"/>
      <c r="Y117" s="69"/>
      <c r="Z117"/>
      <c r="AA117" s="33"/>
    </row>
    <row r="118" spans="1:27" s="73" customFormat="1">
      <c r="A118" s="79"/>
      <c r="B118" s="449"/>
      <c r="C118" s="450"/>
      <c r="D118" s="443" t="s">
        <v>284</v>
      </c>
      <c r="E118" s="92"/>
      <c r="F118" s="92"/>
      <c r="G118" s="87"/>
      <c r="H118" s="17"/>
      <c r="I118" s="163"/>
      <c r="J118" s="163">
        <f>J113+J114</f>
        <v>532</v>
      </c>
      <c r="K118" s="17"/>
      <c r="L118" s="4"/>
      <c r="M118" s="114"/>
      <c r="N118" s="88"/>
      <c r="O118" s="89"/>
      <c r="P118" s="92" t="s">
        <v>62</v>
      </c>
      <c r="Q118" s="78" t="s">
        <v>33</v>
      </c>
      <c r="R118" s="163">
        <f>R113+R114</f>
        <v>5272</v>
      </c>
      <c r="S118" s="104"/>
      <c r="T118" s="22"/>
      <c r="U118" s="22"/>
      <c r="V118" s="91"/>
      <c r="X118"/>
      <c r="Y118" s="69"/>
      <c r="Z118"/>
      <c r="AA118" s="33"/>
    </row>
    <row r="119" spans="1:27" s="73" customFormat="1">
      <c r="A119" s="79"/>
      <c r="B119" s="451"/>
      <c r="C119" s="452"/>
      <c r="D119" s="444"/>
      <c r="E119" s="92"/>
      <c r="F119" s="92"/>
      <c r="G119" s="87"/>
      <c r="H119" s="17"/>
      <c r="I119" s="163"/>
      <c r="J119" s="163">
        <f>J115</f>
        <v>293</v>
      </c>
      <c r="K119" s="17"/>
      <c r="L119" s="4"/>
      <c r="M119" s="114"/>
      <c r="N119" s="88"/>
      <c r="O119" s="89"/>
      <c r="P119" s="92" t="s">
        <v>62</v>
      </c>
      <c r="Q119" s="78" t="s">
        <v>56</v>
      </c>
      <c r="R119" s="163">
        <f>R115</f>
        <v>1421</v>
      </c>
      <c r="S119" s="104"/>
      <c r="T119" s="22"/>
      <c r="U119" s="22"/>
      <c r="V119" s="91"/>
      <c r="X119"/>
      <c r="Y119" s="69"/>
      <c r="Z119"/>
      <c r="AA119" s="33"/>
    </row>
    <row r="120" spans="1:27" s="73" customFormat="1" hidden="1">
      <c r="A120" s="79">
        <v>94</v>
      </c>
      <c r="B120" s="92" t="s">
        <v>27</v>
      </c>
      <c r="C120" s="92">
        <v>4</v>
      </c>
      <c r="D120" s="92" t="s">
        <v>31</v>
      </c>
      <c r="E120" s="92" t="s">
        <v>26</v>
      </c>
      <c r="F120" s="92">
        <v>20</v>
      </c>
      <c r="G120" s="87" t="s">
        <v>75</v>
      </c>
      <c r="H120" s="18">
        <v>1.4</v>
      </c>
      <c r="I120" s="4">
        <v>4</v>
      </c>
      <c r="J120" s="4"/>
      <c r="K120" s="18">
        <v>1.4</v>
      </c>
      <c r="L120" s="4"/>
      <c r="M120" s="114" t="s">
        <v>115</v>
      </c>
      <c r="N120" s="88" t="s">
        <v>175</v>
      </c>
      <c r="O120" s="89">
        <v>43834</v>
      </c>
      <c r="P120" s="92" t="s">
        <v>62</v>
      </c>
      <c r="Q120" s="78" t="s">
        <v>54</v>
      </c>
      <c r="R120" s="163"/>
      <c r="S120" s="104"/>
      <c r="T120" s="22"/>
      <c r="U120" s="22"/>
      <c r="V120" s="91" t="s">
        <v>51</v>
      </c>
      <c r="X120"/>
      <c r="Y120" s="69"/>
      <c r="Z120"/>
      <c r="AA120" s="33"/>
    </row>
    <row r="121" spans="1:27" s="73" customFormat="1" hidden="1">
      <c r="A121" s="79">
        <v>95</v>
      </c>
      <c r="B121" s="92" t="s">
        <v>27</v>
      </c>
      <c r="C121" s="92">
        <v>4</v>
      </c>
      <c r="D121" s="92" t="s">
        <v>31</v>
      </c>
      <c r="E121" s="92" t="s">
        <v>26</v>
      </c>
      <c r="F121" s="92">
        <v>21</v>
      </c>
      <c r="G121" s="87" t="s">
        <v>173</v>
      </c>
      <c r="H121" s="17">
        <v>3.9</v>
      </c>
      <c r="I121" s="4">
        <v>11</v>
      </c>
      <c r="J121" s="4"/>
      <c r="K121" s="17">
        <v>3.9</v>
      </c>
      <c r="L121" s="4"/>
      <c r="M121" s="114" t="s">
        <v>115</v>
      </c>
      <c r="N121" s="88" t="s">
        <v>175</v>
      </c>
      <c r="O121" s="89">
        <v>43834</v>
      </c>
      <c r="P121" s="92" t="s">
        <v>62</v>
      </c>
      <c r="Q121" s="78" t="s">
        <v>54</v>
      </c>
      <c r="R121" s="163"/>
      <c r="S121" s="104"/>
      <c r="T121" s="22"/>
      <c r="U121" s="22"/>
      <c r="V121" s="91" t="s">
        <v>51</v>
      </c>
      <c r="X121"/>
      <c r="Y121" s="69"/>
      <c r="Z121"/>
      <c r="AA121" s="33"/>
    </row>
    <row r="122" spans="1:27" s="73" customFormat="1" hidden="1">
      <c r="A122" s="79">
        <v>96</v>
      </c>
      <c r="B122" s="92" t="s">
        <v>27</v>
      </c>
      <c r="C122" s="92">
        <v>2</v>
      </c>
      <c r="D122" s="92" t="s">
        <v>31</v>
      </c>
      <c r="E122" s="92" t="s">
        <v>26</v>
      </c>
      <c r="F122" s="92">
        <v>31</v>
      </c>
      <c r="G122" s="87" t="s">
        <v>85</v>
      </c>
      <c r="H122" s="17">
        <v>0.8</v>
      </c>
      <c r="I122" s="4">
        <v>2</v>
      </c>
      <c r="J122" s="4"/>
      <c r="K122" s="17">
        <v>0.8</v>
      </c>
      <c r="L122" s="4"/>
      <c r="M122" s="114" t="s">
        <v>115</v>
      </c>
      <c r="N122" s="88" t="s">
        <v>175</v>
      </c>
      <c r="O122" s="89">
        <v>43834</v>
      </c>
      <c r="P122" s="92" t="s">
        <v>62</v>
      </c>
      <c r="Q122" s="78" t="s">
        <v>61</v>
      </c>
      <c r="R122" s="163"/>
      <c r="S122" s="104"/>
      <c r="T122" s="22"/>
      <c r="U122" s="22"/>
      <c r="V122" s="91" t="s">
        <v>33</v>
      </c>
      <c r="X122"/>
      <c r="Y122" s="69"/>
      <c r="Z122"/>
      <c r="AA122" s="33"/>
    </row>
    <row r="123" spans="1:27" s="73" customFormat="1" hidden="1">
      <c r="A123" s="79">
        <v>97</v>
      </c>
      <c r="B123" s="92" t="s">
        <v>27</v>
      </c>
      <c r="C123" s="92">
        <v>4</v>
      </c>
      <c r="D123" s="92" t="s">
        <v>31</v>
      </c>
      <c r="E123" s="92" t="s">
        <v>26</v>
      </c>
      <c r="F123" s="92">
        <v>40</v>
      </c>
      <c r="G123" s="87" t="s">
        <v>68</v>
      </c>
      <c r="H123" s="17">
        <v>2</v>
      </c>
      <c r="I123" s="4">
        <v>7</v>
      </c>
      <c r="J123" s="4"/>
      <c r="K123" s="17">
        <v>2</v>
      </c>
      <c r="L123" s="4"/>
      <c r="M123" s="114" t="s">
        <v>115</v>
      </c>
      <c r="N123" s="88" t="s">
        <v>175</v>
      </c>
      <c r="O123" s="89">
        <v>43834</v>
      </c>
      <c r="P123" s="92" t="s">
        <v>62</v>
      </c>
      <c r="Q123" s="78" t="s">
        <v>55</v>
      </c>
      <c r="R123" s="163"/>
      <c r="S123" s="104"/>
      <c r="T123" s="22"/>
      <c r="U123" s="22"/>
      <c r="V123" s="91" t="s">
        <v>33</v>
      </c>
      <c r="X123"/>
      <c r="Y123" s="69"/>
      <c r="Z123"/>
      <c r="AA123" s="33"/>
    </row>
    <row r="124" spans="1:27" s="73" customFormat="1" hidden="1">
      <c r="A124" s="79">
        <v>98</v>
      </c>
      <c r="B124" s="92" t="s">
        <v>27</v>
      </c>
      <c r="C124" s="92">
        <v>4</v>
      </c>
      <c r="D124" s="92" t="s">
        <v>31</v>
      </c>
      <c r="E124" s="92" t="s">
        <v>26</v>
      </c>
      <c r="F124" s="92">
        <v>45</v>
      </c>
      <c r="G124" s="87" t="s">
        <v>75</v>
      </c>
      <c r="H124" s="17">
        <v>4.3</v>
      </c>
      <c r="I124" s="4">
        <v>15</v>
      </c>
      <c r="J124" s="4"/>
      <c r="K124" s="17">
        <v>4.3</v>
      </c>
      <c r="L124" s="4"/>
      <c r="M124" s="114" t="s">
        <v>115</v>
      </c>
      <c r="N124" s="88" t="s">
        <v>175</v>
      </c>
      <c r="O124" s="89">
        <v>43834</v>
      </c>
      <c r="P124" s="92" t="s">
        <v>62</v>
      </c>
      <c r="Q124" s="78" t="s">
        <v>55</v>
      </c>
      <c r="R124" s="163"/>
      <c r="S124" s="104"/>
      <c r="T124" s="22"/>
      <c r="U124" s="22"/>
      <c r="V124" s="91" t="s">
        <v>33</v>
      </c>
      <c r="X124"/>
      <c r="Y124" s="69"/>
      <c r="Z124"/>
      <c r="AA124" s="33"/>
    </row>
    <row r="125" spans="1:27" s="73" customFormat="1" hidden="1">
      <c r="A125" s="79">
        <v>99</v>
      </c>
      <c r="B125" s="92" t="s">
        <v>27</v>
      </c>
      <c r="C125" s="92">
        <v>4</v>
      </c>
      <c r="D125" s="92" t="s">
        <v>31</v>
      </c>
      <c r="E125" s="92" t="s">
        <v>26</v>
      </c>
      <c r="F125" s="92">
        <v>52</v>
      </c>
      <c r="G125" s="87" t="s">
        <v>71</v>
      </c>
      <c r="H125" s="17">
        <v>2.8</v>
      </c>
      <c r="I125" s="4">
        <v>9</v>
      </c>
      <c r="J125" s="4"/>
      <c r="K125" s="17">
        <v>2.8</v>
      </c>
      <c r="L125" s="4"/>
      <c r="M125" s="114" t="s">
        <v>115</v>
      </c>
      <c r="N125" s="88" t="s">
        <v>175</v>
      </c>
      <c r="O125" s="89">
        <v>43834</v>
      </c>
      <c r="P125" s="92" t="s">
        <v>62</v>
      </c>
      <c r="Q125" s="78" t="s">
        <v>34</v>
      </c>
      <c r="R125" s="163"/>
      <c r="S125" s="104"/>
      <c r="T125" s="22"/>
      <c r="U125" s="122"/>
      <c r="V125" s="91" t="s">
        <v>33</v>
      </c>
      <c r="X125"/>
      <c r="Y125" s="69"/>
      <c r="Z125"/>
      <c r="AA125" s="33"/>
    </row>
    <row r="126" spans="1:27" s="73" customFormat="1" hidden="1">
      <c r="A126" s="79">
        <v>100</v>
      </c>
      <c r="B126" s="92" t="s">
        <v>27</v>
      </c>
      <c r="C126" s="92">
        <v>4</v>
      </c>
      <c r="D126" s="92" t="s">
        <v>31</v>
      </c>
      <c r="E126" s="92" t="s">
        <v>26</v>
      </c>
      <c r="F126" s="92">
        <v>52</v>
      </c>
      <c r="G126" s="87" t="s">
        <v>85</v>
      </c>
      <c r="H126" s="17">
        <v>4.4000000000000004</v>
      </c>
      <c r="I126" s="4">
        <v>16</v>
      </c>
      <c r="J126" s="4"/>
      <c r="K126" s="17">
        <v>4.4000000000000004</v>
      </c>
      <c r="L126" s="4"/>
      <c r="M126" s="114" t="s">
        <v>115</v>
      </c>
      <c r="N126" s="88" t="s">
        <v>175</v>
      </c>
      <c r="O126" s="89">
        <v>43834</v>
      </c>
      <c r="P126" s="92" t="s">
        <v>62</v>
      </c>
      <c r="Q126" s="78" t="s">
        <v>34</v>
      </c>
      <c r="R126" s="163"/>
      <c r="S126" s="104"/>
      <c r="T126" s="22"/>
      <c r="U126" s="22"/>
      <c r="V126" s="91" t="s">
        <v>33</v>
      </c>
      <c r="X126"/>
      <c r="Y126" s="69"/>
      <c r="Z126"/>
      <c r="AA126" s="33"/>
    </row>
    <row r="127" spans="1:27" s="73" customFormat="1" hidden="1">
      <c r="A127" s="79">
        <v>101</v>
      </c>
      <c r="B127" s="92" t="s">
        <v>27</v>
      </c>
      <c r="C127" s="92">
        <v>4</v>
      </c>
      <c r="D127" s="92" t="s">
        <v>31</v>
      </c>
      <c r="E127" s="92" t="s">
        <v>26</v>
      </c>
      <c r="F127" s="92">
        <v>54</v>
      </c>
      <c r="G127" s="87" t="s">
        <v>174</v>
      </c>
      <c r="H127" s="17">
        <v>4.0999999999999996</v>
      </c>
      <c r="I127" s="4">
        <v>18</v>
      </c>
      <c r="J127" s="4"/>
      <c r="K127" s="17">
        <v>4.0999999999999996</v>
      </c>
      <c r="L127" s="4"/>
      <c r="M127" s="114" t="s">
        <v>115</v>
      </c>
      <c r="N127" s="88" t="s">
        <v>175</v>
      </c>
      <c r="O127" s="89">
        <v>43834</v>
      </c>
      <c r="P127" s="92" t="s">
        <v>62</v>
      </c>
      <c r="Q127" s="78" t="s">
        <v>34</v>
      </c>
      <c r="R127" s="163"/>
      <c r="S127" s="104"/>
      <c r="T127" s="22"/>
      <c r="U127" s="22"/>
      <c r="V127" s="91" t="s">
        <v>51</v>
      </c>
      <c r="X127"/>
      <c r="Y127" s="69"/>
      <c r="Z127"/>
      <c r="AA127" s="33"/>
    </row>
    <row r="128" spans="1:27" s="73" customFormat="1" hidden="1">
      <c r="A128" s="79">
        <v>102</v>
      </c>
      <c r="B128" s="92" t="s">
        <v>27</v>
      </c>
      <c r="C128" s="92">
        <v>3</v>
      </c>
      <c r="D128" s="92" t="s">
        <v>31</v>
      </c>
      <c r="E128" s="92" t="s">
        <v>26</v>
      </c>
      <c r="F128" s="92">
        <v>9</v>
      </c>
      <c r="G128" s="87" t="s">
        <v>89</v>
      </c>
      <c r="H128" s="17">
        <v>1</v>
      </c>
      <c r="I128" s="4">
        <v>4</v>
      </c>
      <c r="J128" s="4"/>
      <c r="K128" s="17">
        <v>1</v>
      </c>
      <c r="L128" s="4"/>
      <c r="M128" s="114" t="s">
        <v>115</v>
      </c>
      <c r="N128" s="88" t="s">
        <v>175</v>
      </c>
      <c r="O128" s="89">
        <v>43834</v>
      </c>
      <c r="P128" s="92" t="s">
        <v>62</v>
      </c>
      <c r="Q128" s="78" t="s">
        <v>53</v>
      </c>
      <c r="R128" s="163"/>
      <c r="S128" s="104"/>
      <c r="T128" s="22"/>
      <c r="U128" s="22"/>
      <c r="V128" s="91" t="s">
        <v>51</v>
      </c>
      <c r="X128"/>
      <c r="Y128" s="69"/>
      <c r="Z128"/>
      <c r="AA128" s="33"/>
    </row>
    <row r="129" spans="1:27" s="73" customFormat="1" hidden="1">
      <c r="A129" s="79">
        <v>103</v>
      </c>
      <c r="B129" s="92" t="s">
        <v>27</v>
      </c>
      <c r="C129" s="92">
        <v>4</v>
      </c>
      <c r="D129" s="92" t="s">
        <v>23</v>
      </c>
      <c r="E129" s="92" t="s">
        <v>26</v>
      </c>
      <c r="F129" s="92">
        <v>2</v>
      </c>
      <c r="G129" s="87" t="s">
        <v>71</v>
      </c>
      <c r="H129" s="17">
        <v>6</v>
      </c>
      <c r="I129" s="4">
        <v>94</v>
      </c>
      <c r="J129" s="4">
        <v>63</v>
      </c>
      <c r="K129" s="17">
        <v>6</v>
      </c>
      <c r="L129" s="4"/>
      <c r="M129" s="114" t="s">
        <v>115</v>
      </c>
      <c r="N129" s="88" t="s">
        <v>176</v>
      </c>
      <c r="O129" s="89">
        <v>43834</v>
      </c>
      <c r="P129" s="92" t="s">
        <v>62</v>
      </c>
      <c r="Q129" s="78" t="s">
        <v>53</v>
      </c>
      <c r="R129" s="163"/>
      <c r="S129" s="104"/>
      <c r="T129" s="22"/>
      <c r="U129" s="22"/>
      <c r="V129" s="91" t="s">
        <v>51</v>
      </c>
      <c r="X129"/>
      <c r="Y129" s="69"/>
      <c r="Z129"/>
      <c r="AA129" s="33"/>
    </row>
    <row r="130" spans="1:27" s="73" customFormat="1" hidden="1">
      <c r="A130" s="79">
        <v>104</v>
      </c>
      <c r="B130" s="92" t="s">
        <v>27</v>
      </c>
      <c r="C130" s="92">
        <v>2</v>
      </c>
      <c r="D130" s="92" t="s">
        <v>23</v>
      </c>
      <c r="E130" s="92" t="s">
        <v>26</v>
      </c>
      <c r="F130" s="92">
        <v>26</v>
      </c>
      <c r="G130" s="87" t="s">
        <v>89</v>
      </c>
      <c r="H130" s="93">
        <v>6.9</v>
      </c>
      <c r="I130" s="4">
        <v>54</v>
      </c>
      <c r="J130" s="4">
        <v>33</v>
      </c>
      <c r="K130" s="93">
        <v>6.9</v>
      </c>
      <c r="L130" s="4"/>
      <c r="M130" s="114" t="s">
        <v>115</v>
      </c>
      <c r="N130" s="88" t="s">
        <v>176</v>
      </c>
      <c r="O130" s="89">
        <v>43834</v>
      </c>
      <c r="P130" s="92" t="s">
        <v>62</v>
      </c>
      <c r="Q130" s="78" t="s">
        <v>61</v>
      </c>
      <c r="R130" s="163"/>
      <c r="S130" s="104"/>
      <c r="T130" s="22"/>
      <c r="U130" s="22"/>
      <c r="V130" s="91" t="s">
        <v>51</v>
      </c>
      <c r="X130"/>
      <c r="Y130" s="69"/>
      <c r="Z130"/>
      <c r="AA130" s="33"/>
    </row>
    <row r="131" spans="1:27" s="73" customFormat="1" hidden="1">
      <c r="A131" s="79">
        <v>105</v>
      </c>
      <c r="B131" s="92" t="s">
        <v>27</v>
      </c>
      <c r="C131" s="92">
        <v>4</v>
      </c>
      <c r="D131" s="92" t="s">
        <v>23</v>
      </c>
      <c r="E131" s="92" t="s">
        <v>26</v>
      </c>
      <c r="F131" s="92">
        <v>3</v>
      </c>
      <c r="G131" s="87" t="s">
        <v>67</v>
      </c>
      <c r="H131" s="93">
        <v>2.5</v>
      </c>
      <c r="I131" s="4">
        <v>26</v>
      </c>
      <c r="J131" s="4">
        <v>14</v>
      </c>
      <c r="K131" s="93">
        <v>2.5</v>
      </c>
      <c r="L131" s="4"/>
      <c r="M131" s="114" t="s">
        <v>115</v>
      </c>
      <c r="N131" s="88" t="s">
        <v>176</v>
      </c>
      <c r="O131" s="89">
        <v>43834</v>
      </c>
      <c r="P131" s="92" t="s">
        <v>62</v>
      </c>
      <c r="Q131" s="78" t="s">
        <v>53</v>
      </c>
      <c r="R131" s="163"/>
      <c r="S131" s="104"/>
      <c r="T131" s="22"/>
      <c r="U131" s="22"/>
      <c r="V131" s="91" t="s">
        <v>51</v>
      </c>
      <c r="X131"/>
      <c r="Y131" s="69"/>
      <c r="Z131"/>
      <c r="AA131" s="33"/>
    </row>
    <row r="132" spans="1:27" s="73" customFormat="1" hidden="1">
      <c r="A132" s="79">
        <v>106</v>
      </c>
      <c r="B132" s="92" t="s">
        <v>27</v>
      </c>
      <c r="C132" s="92">
        <v>4</v>
      </c>
      <c r="D132" s="92" t="s">
        <v>23</v>
      </c>
      <c r="E132" s="92" t="s">
        <v>26</v>
      </c>
      <c r="F132" s="92">
        <v>45</v>
      </c>
      <c r="G132" s="87" t="s">
        <v>72</v>
      </c>
      <c r="H132" s="93">
        <v>7.1</v>
      </c>
      <c r="I132" s="4">
        <v>65</v>
      </c>
      <c r="J132" s="4">
        <v>42</v>
      </c>
      <c r="K132" s="93">
        <v>7.1</v>
      </c>
      <c r="L132" s="4"/>
      <c r="M132" s="114" t="s">
        <v>115</v>
      </c>
      <c r="N132" s="88" t="s">
        <v>176</v>
      </c>
      <c r="O132" s="89">
        <v>43834</v>
      </c>
      <c r="P132" s="92" t="s">
        <v>62</v>
      </c>
      <c r="Q132" s="78" t="s">
        <v>55</v>
      </c>
      <c r="R132" s="163"/>
      <c r="S132" s="104"/>
      <c r="T132" s="22"/>
      <c r="U132" s="22"/>
      <c r="V132" s="91" t="s">
        <v>51</v>
      </c>
      <c r="X132"/>
      <c r="Y132" s="69"/>
      <c r="Z132"/>
      <c r="AA132" s="33"/>
    </row>
    <row r="133" spans="1:27" s="73" customFormat="1" hidden="1">
      <c r="A133" s="79">
        <v>107</v>
      </c>
      <c r="B133" s="92" t="s">
        <v>27</v>
      </c>
      <c r="C133" s="92">
        <v>4</v>
      </c>
      <c r="D133" s="92" t="s">
        <v>23</v>
      </c>
      <c r="E133" s="92" t="s">
        <v>26</v>
      </c>
      <c r="F133" s="92">
        <v>47</v>
      </c>
      <c r="G133" s="87" t="s">
        <v>74</v>
      </c>
      <c r="H133" s="93">
        <v>5.2</v>
      </c>
      <c r="I133" s="4">
        <v>56</v>
      </c>
      <c r="J133" s="4">
        <v>37</v>
      </c>
      <c r="K133" s="93">
        <v>5.2</v>
      </c>
      <c r="L133" s="4"/>
      <c r="M133" s="114" t="s">
        <v>115</v>
      </c>
      <c r="N133" s="88" t="s">
        <v>176</v>
      </c>
      <c r="O133" s="89">
        <v>43834</v>
      </c>
      <c r="P133" s="92" t="s">
        <v>62</v>
      </c>
      <c r="Q133" s="78" t="s">
        <v>106</v>
      </c>
      <c r="R133" s="163"/>
      <c r="S133" s="104"/>
      <c r="T133" s="22"/>
      <c r="U133" s="22"/>
      <c r="V133" s="91" t="s">
        <v>51</v>
      </c>
      <c r="X133"/>
      <c r="Y133" s="69"/>
      <c r="Z133"/>
      <c r="AA133" s="33"/>
    </row>
    <row r="134" spans="1:27" s="73" customFormat="1" hidden="1">
      <c r="A134" s="79">
        <v>108</v>
      </c>
      <c r="B134" s="92" t="s">
        <v>27</v>
      </c>
      <c r="C134" s="92">
        <v>4</v>
      </c>
      <c r="D134" s="92" t="s">
        <v>23</v>
      </c>
      <c r="E134" s="92" t="s">
        <v>26</v>
      </c>
      <c r="F134" s="92">
        <v>53</v>
      </c>
      <c r="G134" s="87" t="s">
        <v>88</v>
      </c>
      <c r="H134" s="93">
        <v>4.4000000000000004</v>
      </c>
      <c r="I134" s="4">
        <v>72</v>
      </c>
      <c r="J134" s="4">
        <v>50</v>
      </c>
      <c r="K134" s="93">
        <v>4.4000000000000004</v>
      </c>
      <c r="L134" s="4"/>
      <c r="M134" s="114" t="s">
        <v>115</v>
      </c>
      <c r="N134" s="88" t="s">
        <v>176</v>
      </c>
      <c r="O134" s="89">
        <v>43834</v>
      </c>
      <c r="P134" s="92" t="s">
        <v>62</v>
      </c>
      <c r="Q134" s="78" t="s">
        <v>34</v>
      </c>
      <c r="R134" s="163"/>
      <c r="S134" s="104"/>
      <c r="T134" s="22"/>
      <c r="U134" s="22"/>
      <c r="V134" s="91" t="s">
        <v>33</v>
      </c>
      <c r="X134"/>
      <c r="Y134" s="69"/>
      <c r="Z134"/>
      <c r="AA134" s="33"/>
    </row>
    <row r="135" spans="1:27" s="73" customFormat="1" hidden="1">
      <c r="A135" s="79">
        <v>109</v>
      </c>
      <c r="B135" s="92" t="s">
        <v>27</v>
      </c>
      <c r="C135" s="92">
        <v>4</v>
      </c>
      <c r="D135" s="92" t="s">
        <v>23</v>
      </c>
      <c r="E135" s="92" t="s">
        <v>26</v>
      </c>
      <c r="F135" s="92">
        <v>54</v>
      </c>
      <c r="G135" s="87" t="s">
        <v>68</v>
      </c>
      <c r="H135" s="93">
        <v>1.8</v>
      </c>
      <c r="I135" s="4">
        <v>19</v>
      </c>
      <c r="J135" s="4">
        <v>9</v>
      </c>
      <c r="K135" s="4">
        <v>1.8</v>
      </c>
      <c r="L135" s="4"/>
      <c r="M135" s="114" t="s">
        <v>115</v>
      </c>
      <c r="N135" s="88" t="s">
        <v>176</v>
      </c>
      <c r="O135" s="89">
        <v>43834</v>
      </c>
      <c r="P135" s="92" t="s">
        <v>62</v>
      </c>
      <c r="Q135" s="78" t="s">
        <v>34</v>
      </c>
      <c r="R135" s="163"/>
      <c r="S135" s="125"/>
      <c r="T135" s="124"/>
      <c r="U135" s="22"/>
      <c r="V135" s="91" t="s">
        <v>51</v>
      </c>
      <c r="X135"/>
      <c r="Y135" s="69"/>
      <c r="Z135"/>
      <c r="AA135" s="33"/>
    </row>
    <row r="136" spans="1:27" s="73" customFormat="1" hidden="1">
      <c r="A136" s="79">
        <v>110</v>
      </c>
      <c r="B136" s="92" t="s">
        <v>27</v>
      </c>
      <c r="C136" s="92">
        <v>2</v>
      </c>
      <c r="D136" s="92" t="s">
        <v>24</v>
      </c>
      <c r="E136" s="92" t="s">
        <v>26</v>
      </c>
      <c r="F136" s="92">
        <v>26</v>
      </c>
      <c r="G136" s="87" t="s">
        <v>85</v>
      </c>
      <c r="H136" s="93">
        <v>6.4</v>
      </c>
      <c r="I136" s="4">
        <v>327</v>
      </c>
      <c r="J136" s="4">
        <f>274+1</f>
        <v>275</v>
      </c>
      <c r="K136" s="93">
        <v>6.4</v>
      </c>
      <c r="L136" s="4"/>
      <c r="M136" s="114" t="s">
        <v>115</v>
      </c>
      <c r="N136" s="88" t="s">
        <v>177</v>
      </c>
      <c r="O136" s="89">
        <v>43841</v>
      </c>
      <c r="P136" s="92" t="s">
        <v>62</v>
      </c>
      <c r="Q136" s="78" t="s">
        <v>61</v>
      </c>
      <c r="R136" s="163"/>
      <c r="S136" s="104"/>
      <c r="T136" s="22"/>
      <c r="U136" s="22"/>
      <c r="V136" s="91"/>
      <c r="X136"/>
      <c r="Y136" s="69"/>
      <c r="Z136"/>
      <c r="AA136" s="33"/>
    </row>
    <row r="137" spans="1:27" s="73" customFormat="1" hidden="1">
      <c r="A137" s="79">
        <v>111</v>
      </c>
      <c r="B137" s="92" t="s">
        <v>27</v>
      </c>
      <c r="C137" s="92">
        <v>4</v>
      </c>
      <c r="D137" s="92" t="s">
        <v>24</v>
      </c>
      <c r="E137" s="92" t="s">
        <v>26</v>
      </c>
      <c r="F137" s="92">
        <v>3</v>
      </c>
      <c r="G137" s="87" t="s">
        <v>85</v>
      </c>
      <c r="H137" s="93">
        <v>5</v>
      </c>
      <c r="I137" s="4">
        <v>88</v>
      </c>
      <c r="J137" s="4">
        <v>84</v>
      </c>
      <c r="K137" s="93">
        <v>5</v>
      </c>
      <c r="L137" s="4"/>
      <c r="M137" s="114" t="s">
        <v>115</v>
      </c>
      <c r="N137" s="88" t="s">
        <v>177</v>
      </c>
      <c r="O137" s="89">
        <v>43841</v>
      </c>
      <c r="P137" s="92" t="s">
        <v>62</v>
      </c>
      <c r="Q137" s="78" t="s">
        <v>53</v>
      </c>
      <c r="R137" s="163"/>
      <c r="S137" s="104"/>
      <c r="T137" s="22"/>
      <c r="U137" s="22"/>
      <c r="V137" s="91"/>
      <c r="X137"/>
      <c r="Y137" s="69"/>
      <c r="Z137"/>
      <c r="AA137" s="33"/>
    </row>
    <row r="138" spans="1:27" s="73" customFormat="1" hidden="1">
      <c r="A138" s="79">
        <v>112</v>
      </c>
      <c r="B138" s="92" t="s">
        <v>27</v>
      </c>
      <c r="C138" s="92">
        <v>3</v>
      </c>
      <c r="D138" s="92" t="s">
        <v>167</v>
      </c>
      <c r="E138" s="92" t="s">
        <v>26</v>
      </c>
      <c r="F138" s="92">
        <v>9</v>
      </c>
      <c r="G138" s="87" t="s">
        <v>90</v>
      </c>
      <c r="H138" s="93">
        <v>1.1000000000000001</v>
      </c>
      <c r="I138" s="4">
        <v>18</v>
      </c>
      <c r="J138" s="4">
        <v>5</v>
      </c>
      <c r="K138" s="93">
        <v>1.1000000000000001</v>
      </c>
      <c r="L138" s="4"/>
      <c r="M138" s="114" t="s">
        <v>115</v>
      </c>
      <c r="N138" s="88" t="s">
        <v>177</v>
      </c>
      <c r="O138" s="89">
        <v>43841</v>
      </c>
      <c r="P138" s="92" t="s">
        <v>62</v>
      </c>
      <c r="Q138" s="78" t="s">
        <v>53</v>
      </c>
      <c r="R138" s="163"/>
      <c r="S138" s="104"/>
      <c r="T138" s="22"/>
      <c r="U138" s="22"/>
      <c r="V138" s="91" t="s">
        <v>33</v>
      </c>
      <c r="X138"/>
      <c r="Y138" s="69"/>
      <c r="Z138"/>
      <c r="AA138" s="33"/>
    </row>
    <row r="139" spans="1:27" s="73" customFormat="1">
      <c r="A139" s="79">
        <v>113</v>
      </c>
      <c r="B139" s="447" t="s">
        <v>27</v>
      </c>
      <c r="C139" s="448"/>
      <c r="D139" s="92" t="s">
        <v>22</v>
      </c>
      <c r="E139" s="92" t="s">
        <v>26</v>
      </c>
      <c r="F139" s="92">
        <v>16</v>
      </c>
      <c r="G139" s="87" t="s">
        <v>67</v>
      </c>
      <c r="H139" s="127" t="s">
        <v>178</v>
      </c>
      <c r="I139" s="4">
        <v>731</v>
      </c>
      <c r="J139" s="4">
        <f>601+27</f>
        <v>628</v>
      </c>
      <c r="K139" s="93">
        <v>17.100000000000001</v>
      </c>
      <c r="L139" s="4"/>
      <c r="M139" s="114" t="s">
        <v>115</v>
      </c>
      <c r="N139" s="88" t="s">
        <v>179</v>
      </c>
      <c r="O139" s="89">
        <v>43841</v>
      </c>
      <c r="P139" s="92" t="s">
        <v>62</v>
      </c>
      <c r="Q139" s="78" t="s">
        <v>54</v>
      </c>
      <c r="R139" s="163">
        <v>40908</v>
      </c>
      <c r="S139" s="104"/>
      <c r="T139" s="22"/>
      <c r="U139" s="22"/>
      <c r="V139" s="91" t="s">
        <v>52</v>
      </c>
      <c r="X139"/>
      <c r="Y139" s="69"/>
      <c r="Z139"/>
      <c r="AA139" s="33"/>
    </row>
    <row r="140" spans="1:27" s="73" customFormat="1">
      <c r="A140" s="79">
        <v>114</v>
      </c>
      <c r="B140" s="449"/>
      <c r="C140" s="450"/>
      <c r="D140" s="92" t="s">
        <v>22</v>
      </c>
      <c r="E140" s="92" t="s">
        <v>26</v>
      </c>
      <c r="F140" s="92">
        <v>51</v>
      </c>
      <c r="G140" s="87" t="s">
        <v>74</v>
      </c>
      <c r="H140" s="93">
        <v>17.3</v>
      </c>
      <c r="I140" s="22">
        <v>987</v>
      </c>
      <c r="J140" s="4">
        <f>686+20</f>
        <v>706</v>
      </c>
      <c r="K140" s="93">
        <v>17.3</v>
      </c>
      <c r="L140" s="4"/>
      <c r="M140" s="114" t="s">
        <v>115</v>
      </c>
      <c r="N140" s="88" t="s">
        <v>179</v>
      </c>
      <c r="O140" s="89">
        <v>43841</v>
      </c>
      <c r="P140" s="92" t="s">
        <v>62</v>
      </c>
      <c r="Q140" s="78" t="s">
        <v>34</v>
      </c>
      <c r="R140" s="163">
        <v>19493</v>
      </c>
      <c r="S140" s="104"/>
      <c r="T140" s="22"/>
      <c r="U140" s="22"/>
      <c r="V140" s="91" t="s">
        <v>52</v>
      </c>
      <c r="X140"/>
      <c r="Y140" s="69"/>
      <c r="Z140"/>
      <c r="AA140" s="33"/>
    </row>
    <row r="141" spans="1:27" s="73" customFormat="1" ht="20.25" customHeight="1">
      <c r="A141" s="79">
        <v>115</v>
      </c>
      <c r="B141" s="449"/>
      <c r="C141" s="450"/>
      <c r="D141" s="92" t="s">
        <v>32</v>
      </c>
      <c r="E141" s="92" t="s">
        <v>26</v>
      </c>
      <c r="F141" s="92">
        <v>46</v>
      </c>
      <c r="G141" s="87" t="s">
        <v>180</v>
      </c>
      <c r="H141" s="93">
        <v>7.6</v>
      </c>
      <c r="I141" s="4">
        <v>239</v>
      </c>
      <c r="J141" s="4">
        <f>183+6</f>
        <v>189</v>
      </c>
      <c r="K141" s="93">
        <v>7.6</v>
      </c>
      <c r="L141" s="4"/>
      <c r="M141" s="114" t="s">
        <v>115</v>
      </c>
      <c r="N141" s="88" t="s">
        <v>181</v>
      </c>
      <c r="O141" s="89">
        <v>43834</v>
      </c>
      <c r="P141" s="92" t="s">
        <v>62</v>
      </c>
      <c r="Q141" s="78" t="s">
        <v>106</v>
      </c>
      <c r="R141" s="163">
        <v>2867</v>
      </c>
      <c r="S141" s="104"/>
      <c r="T141" s="22"/>
      <c r="U141" s="22"/>
      <c r="V141" s="91"/>
      <c r="X141"/>
      <c r="Y141" s="69"/>
      <c r="Z141"/>
      <c r="AA141" s="33"/>
    </row>
    <row r="142" spans="1:27" s="73" customFormat="1" ht="21.75" customHeight="1">
      <c r="A142" s="79">
        <v>116</v>
      </c>
      <c r="B142" s="449"/>
      <c r="C142" s="450"/>
      <c r="D142" s="92" t="s">
        <v>32</v>
      </c>
      <c r="E142" s="92" t="s">
        <v>29</v>
      </c>
      <c r="F142" s="92">
        <v>54</v>
      </c>
      <c r="G142" s="87" t="s">
        <v>90</v>
      </c>
      <c r="H142" s="93">
        <v>2.7</v>
      </c>
      <c r="I142" s="4">
        <v>111</v>
      </c>
      <c r="J142" s="4">
        <f>76+2</f>
        <v>78</v>
      </c>
      <c r="K142" s="93">
        <v>2.7</v>
      </c>
      <c r="L142" s="4"/>
      <c r="M142" s="114" t="s">
        <v>115</v>
      </c>
      <c r="N142" s="88" t="s">
        <v>181</v>
      </c>
      <c r="O142" s="89">
        <v>43834</v>
      </c>
      <c r="P142" s="92" t="s">
        <v>62</v>
      </c>
      <c r="Q142" s="78" t="s">
        <v>34</v>
      </c>
      <c r="R142" s="163">
        <v>1148</v>
      </c>
      <c r="S142" s="104"/>
      <c r="T142" s="22"/>
      <c r="U142" s="22"/>
      <c r="V142" s="91" t="s">
        <v>33</v>
      </c>
      <c r="X142"/>
      <c r="Y142" s="69"/>
      <c r="Z142"/>
      <c r="AA142" s="33"/>
    </row>
    <row r="143" spans="1:27" s="73" customFormat="1" ht="22.5" customHeight="1">
      <c r="A143" s="79">
        <v>117</v>
      </c>
      <c r="B143" s="451"/>
      <c r="C143" s="452"/>
      <c r="D143" s="92" t="s">
        <v>32</v>
      </c>
      <c r="E143" s="92" t="s">
        <v>26</v>
      </c>
      <c r="F143" s="92">
        <v>42</v>
      </c>
      <c r="G143" s="87" t="s">
        <v>68</v>
      </c>
      <c r="H143" s="93">
        <v>4.2</v>
      </c>
      <c r="I143" s="4">
        <v>105</v>
      </c>
      <c r="J143" s="4">
        <f>92+3</f>
        <v>95</v>
      </c>
      <c r="K143" s="4">
        <v>4.2</v>
      </c>
      <c r="L143" s="93"/>
      <c r="M143" s="114" t="s">
        <v>115</v>
      </c>
      <c r="N143" s="88" t="s">
        <v>181</v>
      </c>
      <c r="O143" s="89">
        <v>43834</v>
      </c>
      <c r="P143" s="92" t="s">
        <v>62</v>
      </c>
      <c r="Q143" s="78" t="s">
        <v>55</v>
      </c>
      <c r="R143" s="163">
        <v>1041</v>
      </c>
      <c r="S143" s="104"/>
      <c r="T143" s="22"/>
      <c r="U143" s="22"/>
      <c r="V143" s="91" t="s">
        <v>33</v>
      </c>
      <c r="X143"/>
      <c r="Y143" s="69"/>
      <c r="Z143"/>
      <c r="AA143" s="33"/>
    </row>
    <row r="144" spans="1:27" s="73" customFormat="1" ht="30" hidden="1">
      <c r="A144" s="79">
        <v>118</v>
      </c>
      <c r="B144" s="92" t="s">
        <v>20</v>
      </c>
      <c r="C144" s="92">
        <v>4</v>
      </c>
      <c r="D144" s="92" t="s">
        <v>31</v>
      </c>
      <c r="E144" s="92" t="s">
        <v>26</v>
      </c>
      <c r="F144" s="92">
        <v>10</v>
      </c>
      <c r="G144" s="87" t="s">
        <v>82</v>
      </c>
      <c r="H144" s="93">
        <v>1.6</v>
      </c>
      <c r="I144" s="4">
        <v>2</v>
      </c>
      <c r="J144" s="4"/>
      <c r="K144" s="4">
        <v>1.6</v>
      </c>
      <c r="L144" s="93"/>
      <c r="M144" s="114" t="s">
        <v>115</v>
      </c>
      <c r="N144" s="88" t="s">
        <v>184</v>
      </c>
      <c r="O144" s="89">
        <v>43834</v>
      </c>
      <c r="P144" s="92" t="s">
        <v>64</v>
      </c>
      <c r="Q144" s="78" t="s">
        <v>16</v>
      </c>
      <c r="R144" s="163"/>
      <c r="S144" s="104"/>
      <c r="T144" s="22"/>
      <c r="U144" s="22"/>
      <c r="V144" s="91" t="s">
        <v>51</v>
      </c>
      <c r="X144"/>
      <c r="Y144" s="69"/>
      <c r="Z144"/>
      <c r="AA144" s="33"/>
    </row>
    <row r="145" spans="1:27" s="73" customFormat="1" ht="30" hidden="1">
      <c r="A145" s="79">
        <v>119</v>
      </c>
      <c r="B145" s="92" t="s">
        <v>20</v>
      </c>
      <c r="C145" s="92">
        <v>4</v>
      </c>
      <c r="D145" s="92" t="s">
        <v>31</v>
      </c>
      <c r="E145" s="92" t="s">
        <v>26</v>
      </c>
      <c r="F145" s="92">
        <v>17</v>
      </c>
      <c r="G145" s="87" t="s">
        <v>86</v>
      </c>
      <c r="H145" s="93">
        <v>0.5</v>
      </c>
      <c r="I145" s="4">
        <v>1</v>
      </c>
      <c r="J145" s="4"/>
      <c r="K145" s="4">
        <v>0.5</v>
      </c>
      <c r="L145" s="93"/>
      <c r="M145" s="114" t="s">
        <v>115</v>
      </c>
      <c r="N145" s="88" t="s">
        <v>184</v>
      </c>
      <c r="O145" s="89">
        <v>43834</v>
      </c>
      <c r="P145" s="92" t="s">
        <v>64</v>
      </c>
      <c r="Q145" s="78" t="s">
        <v>16</v>
      </c>
      <c r="R145" s="163"/>
      <c r="S145" s="104"/>
      <c r="T145" s="22"/>
      <c r="U145" s="22"/>
      <c r="V145" s="91" t="s">
        <v>51</v>
      </c>
      <c r="X145"/>
      <c r="Y145" s="69"/>
      <c r="Z145"/>
      <c r="AA145" s="33"/>
    </row>
    <row r="146" spans="1:27" s="73" customFormat="1" ht="30" hidden="1">
      <c r="A146" s="79">
        <v>120</v>
      </c>
      <c r="B146" s="92" t="s">
        <v>20</v>
      </c>
      <c r="C146" s="92">
        <v>2</v>
      </c>
      <c r="D146" s="92" t="s">
        <v>31</v>
      </c>
      <c r="E146" s="92" t="s">
        <v>26</v>
      </c>
      <c r="F146" s="92">
        <v>18</v>
      </c>
      <c r="G146" s="87" t="s">
        <v>183</v>
      </c>
      <c r="H146" s="93">
        <v>2.1</v>
      </c>
      <c r="I146" s="4">
        <v>8</v>
      </c>
      <c r="J146" s="4"/>
      <c r="K146" s="4">
        <v>2.1</v>
      </c>
      <c r="L146" s="93"/>
      <c r="M146" s="114" t="s">
        <v>115</v>
      </c>
      <c r="N146" s="88" t="s">
        <v>184</v>
      </c>
      <c r="O146" s="89">
        <v>43834</v>
      </c>
      <c r="P146" s="92" t="s">
        <v>64</v>
      </c>
      <c r="Q146" s="78" t="s">
        <v>16</v>
      </c>
      <c r="R146" s="163"/>
      <c r="S146" s="104"/>
      <c r="T146" s="22"/>
      <c r="U146" s="22"/>
      <c r="V146" s="91" t="s">
        <v>51</v>
      </c>
      <c r="X146"/>
      <c r="Y146" s="69"/>
      <c r="Z146"/>
      <c r="AA146" s="33"/>
    </row>
    <row r="147" spans="1:27" s="73" customFormat="1" ht="30" hidden="1">
      <c r="A147" s="79">
        <v>121</v>
      </c>
      <c r="B147" s="92" t="s">
        <v>20</v>
      </c>
      <c r="C147" s="92">
        <v>2</v>
      </c>
      <c r="D147" s="92" t="s">
        <v>31</v>
      </c>
      <c r="E147" s="92" t="s">
        <v>26</v>
      </c>
      <c r="F147" s="92">
        <v>19</v>
      </c>
      <c r="G147" s="87" t="s">
        <v>87</v>
      </c>
      <c r="H147" s="93">
        <v>2.7</v>
      </c>
      <c r="I147" s="4">
        <v>39</v>
      </c>
      <c r="J147" s="4">
        <v>7</v>
      </c>
      <c r="K147" s="4">
        <v>2.7</v>
      </c>
      <c r="L147" s="93"/>
      <c r="M147" s="114" t="s">
        <v>115</v>
      </c>
      <c r="N147" s="88" t="s">
        <v>184</v>
      </c>
      <c r="O147" s="89">
        <v>43834</v>
      </c>
      <c r="P147" s="92" t="s">
        <v>64</v>
      </c>
      <c r="Q147" s="78" t="s">
        <v>16</v>
      </c>
      <c r="R147" s="163"/>
      <c r="S147" s="104"/>
      <c r="T147" s="22"/>
      <c r="U147" s="22"/>
      <c r="V147" s="91" t="s">
        <v>33</v>
      </c>
      <c r="X147"/>
      <c r="Y147" s="69"/>
      <c r="Z147"/>
      <c r="AA147" s="33"/>
    </row>
    <row r="148" spans="1:27" s="73" customFormat="1" ht="30" hidden="1">
      <c r="A148" s="79">
        <v>122</v>
      </c>
      <c r="B148" s="92" t="s">
        <v>20</v>
      </c>
      <c r="C148" s="92">
        <v>2</v>
      </c>
      <c r="D148" s="92" t="s">
        <v>31</v>
      </c>
      <c r="E148" s="92" t="s">
        <v>28</v>
      </c>
      <c r="F148" s="92">
        <v>29</v>
      </c>
      <c r="G148" s="87" t="s">
        <v>102</v>
      </c>
      <c r="H148" s="93">
        <v>0.3</v>
      </c>
      <c r="I148" s="4">
        <v>1</v>
      </c>
      <c r="J148" s="4"/>
      <c r="K148" s="4">
        <v>0.3</v>
      </c>
      <c r="L148" s="93"/>
      <c r="M148" s="114" t="s">
        <v>115</v>
      </c>
      <c r="N148" s="88" t="s">
        <v>184</v>
      </c>
      <c r="O148" s="89">
        <v>43834</v>
      </c>
      <c r="P148" s="92" t="s">
        <v>64</v>
      </c>
      <c r="Q148" s="78" t="s">
        <v>16</v>
      </c>
      <c r="R148" s="163"/>
      <c r="S148" s="104"/>
      <c r="T148" s="22"/>
      <c r="U148" s="22"/>
      <c r="V148" s="91" t="s">
        <v>33</v>
      </c>
      <c r="X148"/>
      <c r="Y148" s="69"/>
      <c r="Z148"/>
      <c r="AA148" s="33"/>
    </row>
    <row r="149" spans="1:27" s="73" customFormat="1" ht="30" hidden="1">
      <c r="A149" s="79">
        <v>123</v>
      </c>
      <c r="B149" s="92" t="s">
        <v>20</v>
      </c>
      <c r="C149" s="92">
        <v>4</v>
      </c>
      <c r="D149" s="92" t="s">
        <v>31</v>
      </c>
      <c r="E149" s="92" t="s">
        <v>26</v>
      </c>
      <c r="F149" s="92">
        <v>4</v>
      </c>
      <c r="G149" s="87" t="s">
        <v>97</v>
      </c>
      <c r="H149" s="93">
        <v>3.2</v>
      </c>
      <c r="I149" s="4">
        <v>4</v>
      </c>
      <c r="J149" s="4"/>
      <c r="K149" s="4">
        <v>3.2</v>
      </c>
      <c r="L149" s="93"/>
      <c r="M149" s="114" t="s">
        <v>115</v>
      </c>
      <c r="N149" s="88" t="s">
        <v>184</v>
      </c>
      <c r="O149" s="89">
        <v>43834</v>
      </c>
      <c r="P149" s="92" t="s">
        <v>64</v>
      </c>
      <c r="Q149" s="78" t="s">
        <v>16</v>
      </c>
      <c r="R149" s="163"/>
      <c r="S149" s="104"/>
      <c r="T149" s="22"/>
      <c r="U149" s="22"/>
      <c r="V149" s="91" t="s">
        <v>33</v>
      </c>
      <c r="X149"/>
      <c r="Y149" s="69"/>
      <c r="Z149"/>
      <c r="AA149" s="33"/>
    </row>
    <row r="150" spans="1:27" s="73" customFormat="1" ht="30" hidden="1">
      <c r="A150" s="79">
        <v>124</v>
      </c>
      <c r="B150" s="92" t="s">
        <v>20</v>
      </c>
      <c r="C150" s="92">
        <v>4</v>
      </c>
      <c r="D150" s="92" t="s">
        <v>31</v>
      </c>
      <c r="E150" s="92" t="s">
        <v>26</v>
      </c>
      <c r="F150" s="92">
        <v>40</v>
      </c>
      <c r="G150" s="87" t="s">
        <v>67</v>
      </c>
      <c r="H150" s="93">
        <v>1.1000000000000001</v>
      </c>
      <c r="I150" s="4">
        <v>4</v>
      </c>
      <c r="J150" s="4"/>
      <c r="K150" s="4">
        <v>1.1000000000000001</v>
      </c>
      <c r="L150" s="93"/>
      <c r="M150" s="114" t="s">
        <v>115</v>
      </c>
      <c r="N150" s="88" t="s">
        <v>184</v>
      </c>
      <c r="O150" s="89">
        <v>43834</v>
      </c>
      <c r="P150" s="92" t="s">
        <v>64</v>
      </c>
      <c r="Q150" s="78" t="s">
        <v>16</v>
      </c>
      <c r="R150" s="163"/>
      <c r="S150" s="104"/>
      <c r="T150" s="22"/>
      <c r="U150" s="22"/>
      <c r="V150" s="91" t="s">
        <v>33</v>
      </c>
      <c r="X150"/>
      <c r="Y150" s="69"/>
      <c r="Z150"/>
      <c r="AA150" s="33"/>
    </row>
    <row r="151" spans="1:27" s="73" customFormat="1" ht="30" hidden="1">
      <c r="A151" s="79">
        <v>125</v>
      </c>
      <c r="B151" s="92" t="s">
        <v>20</v>
      </c>
      <c r="C151" s="92">
        <v>2</v>
      </c>
      <c r="D151" s="92" t="s">
        <v>31</v>
      </c>
      <c r="E151" s="92" t="s">
        <v>26</v>
      </c>
      <c r="F151" s="92">
        <v>47</v>
      </c>
      <c r="G151" s="87" t="s">
        <v>126</v>
      </c>
      <c r="H151" s="93">
        <v>3</v>
      </c>
      <c r="I151" s="4">
        <v>4</v>
      </c>
      <c r="J151" s="4"/>
      <c r="K151" s="4">
        <v>3</v>
      </c>
      <c r="L151" s="93"/>
      <c r="M151" s="114" t="s">
        <v>115</v>
      </c>
      <c r="N151" s="88" t="s">
        <v>184</v>
      </c>
      <c r="O151" s="89">
        <v>43834</v>
      </c>
      <c r="P151" s="92" t="s">
        <v>64</v>
      </c>
      <c r="Q151" s="78" t="s">
        <v>16</v>
      </c>
      <c r="R151" s="163"/>
      <c r="S151" s="104"/>
      <c r="T151" s="22"/>
      <c r="U151" s="22"/>
      <c r="V151" s="91" t="s">
        <v>51</v>
      </c>
      <c r="X151"/>
      <c r="Y151" s="69"/>
      <c r="Z151"/>
      <c r="AA151" s="33"/>
    </row>
    <row r="152" spans="1:27" s="73" customFormat="1" ht="30" hidden="1">
      <c r="A152" s="79">
        <v>126</v>
      </c>
      <c r="B152" s="92" t="s">
        <v>20</v>
      </c>
      <c r="C152" s="92">
        <v>4</v>
      </c>
      <c r="D152" s="92" t="s">
        <v>31</v>
      </c>
      <c r="E152" s="92" t="s">
        <v>28</v>
      </c>
      <c r="F152" s="92">
        <v>8</v>
      </c>
      <c r="G152" s="87" t="s">
        <v>69</v>
      </c>
      <c r="H152" s="93">
        <v>2.8</v>
      </c>
      <c r="I152" s="4">
        <v>5</v>
      </c>
      <c r="J152" s="4"/>
      <c r="K152" s="4">
        <v>2.8</v>
      </c>
      <c r="L152" s="93"/>
      <c r="M152" s="114" t="s">
        <v>115</v>
      </c>
      <c r="N152" s="88" t="s">
        <v>184</v>
      </c>
      <c r="O152" s="89">
        <v>43834</v>
      </c>
      <c r="P152" s="92" t="s">
        <v>64</v>
      </c>
      <c r="Q152" s="78" t="s">
        <v>16</v>
      </c>
      <c r="R152" s="163"/>
      <c r="S152" s="104"/>
      <c r="T152" s="22"/>
      <c r="U152" s="22"/>
      <c r="V152" s="91" t="s">
        <v>51</v>
      </c>
      <c r="X152"/>
      <c r="Y152" s="69"/>
      <c r="Z152"/>
      <c r="AA152" s="33"/>
    </row>
    <row r="153" spans="1:27" s="73" customFormat="1" ht="30" hidden="1">
      <c r="A153" s="79">
        <v>127</v>
      </c>
      <c r="B153" s="92" t="s">
        <v>20</v>
      </c>
      <c r="C153" s="92">
        <v>4</v>
      </c>
      <c r="D153" s="92" t="s">
        <v>31</v>
      </c>
      <c r="E153" s="92" t="s">
        <v>26</v>
      </c>
      <c r="F153" s="92">
        <v>9</v>
      </c>
      <c r="G153" s="87" t="s">
        <v>88</v>
      </c>
      <c r="H153" s="93">
        <v>2.4</v>
      </c>
      <c r="I153" s="4">
        <v>3</v>
      </c>
      <c r="J153" s="4"/>
      <c r="K153" s="4">
        <v>2.4</v>
      </c>
      <c r="L153" s="93"/>
      <c r="M153" s="114" t="s">
        <v>115</v>
      </c>
      <c r="N153" s="88" t="s">
        <v>184</v>
      </c>
      <c r="O153" s="89">
        <v>43834</v>
      </c>
      <c r="P153" s="92" t="s">
        <v>64</v>
      </c>
      <c r="Q153" s="78" t="s">
        <v>16</v>
      </c>
      <c r="R153" s="163"/>
      <c r="S153" s="104"/>
      <c r="T153" s="22"/>
      <c r="U153" s="22"/>
      <c r="V153" s="91" t="s">
        <v>51</v>
      </c>
      <c r="X153"/>
      <c r="Y153" s="69"/>
      <c r="Z153"/>
      <c r="AA153" s="33"/>
    </row>
    <row r="154" spans="1:27" s="73" customFormat="1" ht="30" hidden="1">
      <c r="A154" s="79">
        <v>128</v>
      </c>
      <c r="B154" s="92" t="s">
        <v>20</v>
      </c>
      <c r="C154" s="92">
        <v>4</v>
      </c>
      <c r="D154" s="92" t="s">
        <v>23</v>
      </c>
      <c r="E154" s="92" t="s">
        <v>26</v>
      </c>
      <c r="F154" s="92">
        <v>10</v>
      </c>
      <c r="G154" s="87" t="s">
        <v>89</v>
      </c>
      <c r="H154" s="93">
        <v>0.4</v>
      </c>
      <c r="I154" s="4">
        <v>2</v>
      </c>
      <c r="J154" s="4">
        <v>1</v>
      </c>
      <c r="K154" s="4">
        <v>0.4</v>
      </c>
      <c r="L154" s="93"/>
      <c r="M154" s="114" t="s">
        <v>115</v>
      </c>
      <c r="N154" s="88" t="s">
        <v>185</v>
      </c>
      <c r="O154" s="89">
        <v>43834</v>
      </c>
      <c r="P154" s="92" t="s">
        <v>64</v>
      </c>
      <c r="Q154" s="78" t="s">
        <v>16</v>
      </c>
      <c r="R154" s="163"/>
      <c r="S154" s="104"/>
      <c r="T154" s="22"/>
      <c r="U154" s="22"/>
      <c r="V154" s="91" t="s">
        <v>51</v>
      </c>
      <c r="X154"/>
      <c r="Y154" s="69"/>
      <c r="Z154"/>
      <c r="AA154" s="33"/>
    </row>
    <row r="155" spans="1:27" s="73" customFormat="1" ht="30" hidden="1">
      <c r="A155" s="79">
        <v>129</v>
      </c>
      <c r="B155" s="92" t="s">
        <v>20</v>
      </c>
      <c r="C155" s="92">
        <v>4</v>
      </c>
      <c r="D155" s="92" t="s">
        <v>23</v>
      </c>
      <c r="E155" s="92" t="s">
        <v>26</v>
      </c>
      <c r="F155" s="92">
        <v>10</v>
      </c>
      <c r="G155" s="87" t="s">
        <v>80</v>
      </c>
      <c r="H155" s="93">
        <v>0.4</v>
      </c>
      <c r="I155" s="4">
        <v>3</v>
      </c>
      <c r="J155" s="4">
        <v>2</v>
      </c>
      <c r="K155" s="4">
        <v>0.4</v>
      </c>
      <c r="L155" s="93"/>
      <c r="M155" s="114" t="s">
        <v>115</v>
      </c>
      <c r="N155" s="88" t="s">
        <v>185</v>
      </c>
      <c r="O155" s="89">
        <v>43834</v>
      </c>
      <c r="P155" s="92" t="s">
        <v>64</v>
      </c>
      <c r="Q155" s="78" t="s">
        <v>16</v>
      </c>
      <c r="R155" s="163"/>
      <c r="S155" s="104"/>
      <c r="T155" s="22"/>
      <c r="U155" s="22"/>
      <c r="V155" s="91" t="s">
        <v>33</v>
      </c>
      <c r="X155"/>
      <c r="Y155" s="69"/>
      <c r="Z155"/>
      <c r="AA155" s="33"/>
    </row>
    <row r="156" spans="1:27" s="73" customFormat="1" ht="30" hidden="1">
      <c r="A156" s="79">
        <v>130</v>
      </c>
      <c r="B156" s="92" t="s">
        <v>20</v>
      </c>
      <c r="C156" s="92">
        <v>4</v>
      </c>
      <c r="D156" s="92" t="s">
        <v>23</v>
      </c>
      <c r="E156" s="92" t="s">
        <v>26</v>
      </c>
      <c r="F156" s="92">
        <v>10</v>
      </c>
      <c r="G156" s="87" t="s">
        <v>86</v>
      </c>
      <c r="H156" s="93">
        <v>0.4</v>
      </c>
      <c r="I156" s="4">
        <v>1</v>
      </c>
      <c r="J156" s="4"/>
      <c r="K156" s="4">
        <v>0.4</v>
      </c>
      <c r="L156" s="93"/>
      <c r="M156" s="114" t="s">
        <v>115</v>
      </c>
      <c r="N156" s="88" t="s">
        <v>185</v>
      </c>
      <c r="O156" s="89">
        <v>43834</v>
      </c>
      <c r="P156" s="92" t="s">
        <v>64</v>
      </c>
      <c r="Q156" s="78" t="s">
        <v>16</v>
      </c>
      <c r="R156" s="163"/>
      <c r="S156" s="104"/>
      <c r="T156" s="22"/>
      <c r="U156" s="22"/>
      <c r="V156" s="91" t="s">
        <v>33</v>
      </c>
      <c r="X156"/>
      <c r="Y156" s="69"/>
      <c r="Z156"/>
      <c r="AA156" s="33"/>
    </row>
    <row r="157" spans="1:27" s="73" customFormat="1" ht="30" hidden="1">
      <c r="A157" s="79">
        <v>131</v>
      </c>
      <c r="B157" s="92" t="s">
        <v>20</v>
      </c>
      <c r="C157" s="92">
        <v>2</v>
      </c>
      <c r="D157" s="92" t="s">
        <v>23</v>
      </c>
      <c r="E157" s="92" t="s">
        <v>29</v>
      </c>
      <c r="F157" s="92">
        <v>18</v>
      </c>
      <c r="G157" s="87" t="s">
        <v>69</v>
      </c>
      <c r="H157" s="93">
        <v>1.2</v>
      </c>
      <c r="I157" s="4">
        <v>14</v>
      </c>
      <c r="J157" s="4">
        <v>10</v>
      </c>
      <c r="K157" s="4">
        <v>1.2</v>
      </c>
      <c r="L157" s="93"/>
      <c r="M157" s="114" t="s">
        <v>115</v>
      </c>
      <c r="N157" s="88" t="s">
        <v>185</v>
      </c>
      <c r="O157" s="89">
        <v>43834</v>
      </c>
      <c r="P157" s="92" t="s">
        <v>64</v>
      </c>
      <c r="Q157" s="78" t="s">
        <v>16</v>
      </c>
      <c r="R157" s="163"/>
      <c r="S157" s="104"/>
      <c r="T157" s="22"/>
      <c r="U157" s="22"/>
      <c r="V157" s="91" t="s">
        <v>33</v>
      </c>
      <c r="X157"/>
      <c r="Y157" s="69"/>
      <c r="Z157"/>
      <c r="AA157" s="33"/>
    </row>
    <row r="158" spans="1:27" s="73" customFormat="1" ht="30" hidden="1">
      <c r="A158" s="79">
        <v>132</v>
      </c>
      <c r="B158" s="92" t="s">
        <v>20</v>
      </c>
      <c r="C158" s="92">
        <v>4</v>
      </c>
      <c r="D158" s="92" t="s">
        <v>23</v>
      </c>
      <c r="E158" s="92" t="s">
        <v>26</v>
      </c>
      <c r="F158" s="92">
        <v>23</v>
      </c>
      <c r="G158" s="87" t="s">
        <v>79</v>
      </c>
      <c r="H158" s="93">
        <v>0.8</v>
      </c>
      <c r="I158" s="4">
        <v>6</v>
      </c>
      <c r="J158" s="4"/>
      <c r="K158" s="4">
        <v>0.8</v>
      </c>
      <c r="L158" s="93"/>
      <c r="M158" s="114" t="s">
        <v>115</v>
      </c>
      <c r="N158" s="88" t="s">
        <v>185</v>
      </c>
      <c r="O158" s="89">
        <v>43834</v>
      </c>
      <c r="P158" s="92" t="s">
        <v>64</v>
      </c>
      <c r="Q158" s="78" t="s">
        <v>16</v>
      </c>
      <c r="R158" s="163"/>
      <c r="S158" s="104"/>
      <c r="T158" s="22"/>
      <c r="U158" s="22"/>
      <c r="V158" s="91" t="s">
        <v>33</v>
      </c>
      <c r="X158"/>
      <c r="Y158" s="69"/>
      <c r="Z158"/>
      <c r="AA158" s="33"/>
    </row>
    <row r="159" spans="1:27" s="73" customFormat="1" ht="30" hidden="1">
      <c r="A159" s="79">
        <v>133</v>
      </c>
      <c r="B159" s="92" t="s">
        <v>20</v>
      </c>
      <c r="C159" s="92">
        <v>4</v>
      </c>
      <c r="D159" s="92" t="s">
        <v>23</v>
      </c>
      <c r="E159" s="92" t="s">
        <v>26</v>
      </c>
      <c r="F159" s="92">
        <v>31</v>
      </c>
      <c r="G159" s="87" t="s">
        <v>89</v>
      </c>
      <c r="H159" s="93">
        <v>3.9</v>
      </c>
      <c r="I159" s="4">
        <v>23</v>
      </c>
      <c r="J159" s="4"/>
      <c r="K159" s="4">
        <v>3.9</v>
      </c>
      <c r="L159" s="93"/>
      <c r="M159" s="114" t="s">
        <v>115</v>
      </c>
      <c r="N159" s="88" t="s">
        <v>185</v>
      </c>
      <c r="O159" s="89">
        <v>43834</v>
      </c>
      <c r="P159" s="92" t="s">
        <v>64</v>
      </c>
      <c r="Q159" s="78" t="s">
        <v>16</v>
      </c>
      <c r="R159" s="163"/>
      <c r="S159" s="104"/>
      <c r="T159" s="22"/>
      <c r="U159" s="22"/>
      <c r="V159" s="91" t="s">
        <v>33</v>
      </c>
      <c r="X159"/>
      <c r="Y159" s="69"/>
      <c r="Z159"/>
      <c r="AA159" s="33"/>
    </row>
    <row r="160" spans="1:27" s="73" customFormat="1" ht="30" hidden="1">
      <c r="A160" s="79">
        <v>134</v>
      </c>
      <c r="B160" s="92" t="s">
        <v>20</v>
      </c>
      <c r="C160" s="92">
        <v>4</v>
      </c>
      <c r="D160" s="92" t="s">
        <v>23</v>
      </c>
      <c r="E160" s="92" t="s">
        <v>26</v>
      </c>
      <c r="F160" s="92">
        <v>5</v>
      </c>
      <c r="G160" s="87" t="s">
        <v>78</v>
      </c>
      <c r="H160" s="93">
        <v>2.9</v>
      </c>
      <c r="I160" s="4">
        <v>8</v>
      </c>
      <c r="J160" s="4">
        <v>7</v>
      </c>
      <c r="K160" s="4">
        <v>2.9</v>
      </c>
      <c r="L160" s="93"/>
      <c r="M160" s="114" t="s">
        <v>115</v>
      </c>
      <c r="N160" s="88" t="s">
        <v>185</v>
      </c>
      <c r="O160" s="89">
        <v>43834</v>
      </c>
      <c r="P160" s="92" t="s">
        <v>64</v>
      </c>
      <c r="Q160" s="78" t="s">
        <v>16</v>
      </c>
      <c r="R160" s="163"/>
      <c r="S160" s="104"/>
      <c r="T160" s="22"/>
      <c r="U160" s="22"/>
      <c r="V160" s="91" t="s">
        <v>52</v>
      </c>
      <c r="X160"/>
      <c r="Y160" s="69"/>
      <c r="Z160"/>
      <c r="AA160" s="33"/>
    </row>
    <row r="161" spans="1:27" s="73" customFormat="1" ht="30" hidden="1">
      <c r="A161" s="79">
        <v>135</v>
      </c>
      <c r="B161" s="92" t="s">
        <v>20</v>
      </c>
      <c r="C161" s="92">
        <v>4</v>
      </c>
      <c r="D161" s="92" t="s">
        <v>23</v>
      </c>
      <c r="E161" s="92" t="s">
        <v>26</v>
      </c>
      <c r="F161" s="92">
        <v>9</v>
      </c>
      <c r="G161" s="87" t="s">
        <v>79</v>
      </c>
      <c r="H161" s="93">
        <v>3.3</v>
      </c>
      <c r="I161" s="4">
        <v>31</v>
      </c>
      <c r="J161" s="4">
        <v>16</v>
      </c>
      <c r="K161" s="4">
        <v>3.3</v>
      </c>
      <c r="L161" s="93"/>
      <c r="M161" s="114" t="s">
        <v>115</v>
      </c>
      <c r="N161" s="88" t="s">
        <v>185</v>
      </c>
      <c r="O161" s="89">
        <v>43834</v>
      </c>
      <c r="P161" s="92" t="s">
        <v>64</v>
      </c>
      <c r="Q161" s="78" t="s">
        <v>16</v>
      </c>
      <c r="R161" s="163"/>
      <c r="S161" s="104"/>
      <c r="T161" s="22"/>
      <c r="U161" s="22"/>
      <c r="V161" s="91" t="s">
        <v>52</v>
      </c>
      <c r="X161"/>
      <c r="Y161" s="69"/>
      <c r="Z161"/>
      <c r="AA161" s="33"/>
    </row>
    <row r="162" spans="1:27" s="73" customFormat="1" ht="30" hidden="1">
      <c r="A162" s="79">
        <v>136</v>
      </c>
      <c r="B162" s="92" t="s">
        <v>20</v>
      </c>
      <c r="C162" s="92">
        <v>4</v>
      </c>
      <c r="D162" s="92" t="s">
        <v>24</v>
      </c>
      <c r="E162" s="92" t="s">
        <v>26</v>
      </c>
      <c r="F162" s="92">
        <v>1</v>
      </c>
      <c r="G162" s="87" t="s">
        <v>67</v>
      </c>
      <c r="H162" s="93">
        <v>1.6</v>
      </c>
      <c r="I162" s="4">
        <v>45</v>
      </c>
      <c r="J162" s="4">
        <v>43</v>
      </c>
      <c r="K162" s="4">
        <v>1.6</v>
      </c>
      <c r="L162" s="93"/>
      <c r="M162" s="114" t="s">
        <v>115</v>
      </c>
      <c r="N162" s="88" t="s">
        <v>158</v>
      </c>
      <c r="O162" s="89">
        <v>43841</v>
      </c>
      <c r="P162" s="92" t="s">
        <v>64</v>
      </c>
      <c r="Q162" s="78" t="s">
        <v>16</v>
      </c>
      <c r="R162" s="163"/>
      <c r="S162" s="104"/>
      <c r="T162" s="22"/>
      <c r="U162" s="22"/>
      <c r="V162" s="91" t="s">
        <v>52</v>
      </c>
      <c r="X162"/>
      <c r="Y162" s="69"/>
      <c r="Z162"/>
      <c r="AA162" s="33"/>
    </row>
    <row r="163" spans="1:27" s="73" customFormat="1" ht="30" hidden="1">
      <c r="A163" s="79">
        <v>137</v>
      </c>
      <c r="B163" s="92" t="s">
        <v>20</v>
      </c>
      <c r="C163" s="92">
        <v>2</v>
      </c>
      <c r="D163" s="92" t="s">
        <v>24</v>
      </c>
      <c r="E163" s="92" t="s">
        <v>26</v>
      </c>
      <c r="F163" s="92">
        <v>20</v>
      </c>
      <c r="G163" s="87" t="s">
        <v>71</v>
      </c>
      <c r="H163" s="93">
        <v>4.5999999999999996</v>
      </c>
      <c r="I163" s="4">
        <v>84</v>
      </c>
      <c r="J163" s="4">
        <v>80</v>
      </c>
      <c r="K163" s="4">
        <v>4.5999999999999996</v>
      </c>
      <c r="L163" s="93"/>
      <c r="M163" s="114" t="s">
        <v>115</v>
      </c>
      <c r="N163" s="88" t="s">
        <v>158</v>
      </c>
      <c r="O163" s="89">
        <v>43841</v>
      </c>
      <c r="P163" s="92" t="s">
        <v>64</v>
      </c>
      <c r="Q163" s="78" t="s">
        <v>16</v>
      </c>
      <c r="R163" s="163"/>
      <c r="S163" s="104"/>
      <c r="T163" s="22"/>
      <c r="U163" s="22"/>
      <c r="V163" s="91" t="s">
        <v>52</v>
      </c>
      <c r="X163"/>
      <c r="Y163" s="69"/>
      <c r="Z163"/>
      <c r="AA163" s="33"/>
    </row>
    <row r="164" spans="1:27" s="73" customFormat="1" ht="30" hidden="1">
      <c r="A164" s="79">
        <v>138</v>
      </c>
      <c r="B164" s="92" t="s">
        <v>20</v>
      </c>
      <c r="C164" s="92">
        <v>2</v>
      </c>
      <c r="D164" s="92" t="s">
        <v>24</v>
      </c>
      <c r="E164" s="92" t="s">
        <v>26</v>
      </c>
      <c r="F164" s="92">
        <v>28</v>
      </c>
      <c r="G164" s="87" t="s">
        <v>67</v>
      </c>
      <c r="H164" s="93">
        <v>4.4000000000000004</v>
      </c>
      <c r="I164" s="4">
        <v>102</v>
      </c>
      <c r="J164" s="4">
        <v>98</v>
      </c>
      <c r="K164" s="4">
        <v>4.4000000000000004</v>
      </c>
      <c r="L164" s="93"/>
      <c r="M164" s="114" t="s">
        <v>115</v>
      </c>
      <c r="N164" s="88" t="s">
        <v>158</v>
      </c>
      <c r="O164" s="89">
        <v>43841</v>
      </c>
      <c r="P164" s="92" t="s">
        <v>64</v>
      </c>
      <c r="Q164" s="78" t="s">
        <v>16</v>
      </c>
      <c r="R164" s="163"/>
      <c r="S164" s="104"/>
      <c r="T164" s="22"/>
      <c r="U164" s="22"/>
      <c r="V164" s="91" t="s">
        <v>33</v>
      </c>
      <c r="X164"/>
      <c r="Y164" s="69"/>
      <c r="Z164"/>
      <c r="AA164" s="33"/>
    </row>
    <row r="165" spans="1:27" s="73" customFormat="1" ht="30" hidden="1">
      <c r="A165" s="79">
        <v>139</v>
      </c>
      <c r="B165" s="92" t="s">
        <v>20</v>
      </c>
      <c r="C165" s="92">
        <v>4</v>
      </c>
      <c r="D165" s="92" t="s">
        <v>24</v>
      </c>
      <c r="E165" s="92" t="s">
        <v>26</v>
      </c>
      <c r="F165" s="92">
        <v>31</v>
      </c>
      <c r="G165" s="87" t="s">
        <v>79</v>
      </c>
      <c r="H165" s="93">
        <v>4.7</v>
      </c>
      <c r="I165" s="4">
        <v>95</v>
      </c>
      <c r="J165" s="4">
        <v>91</v>
      </c>
      <c r="K165" s="103">
        <v>4.7</v>
      </c>
      <c r="L165" s="93"/>
      <c r="M165" s="114" t="s">
        <v>115</v>
      </c>
      <c r="N165" s="88" t="s">
        <v>158</v>
      </c>
      <c r="O165" s="89">
        <v>43841</v>
      </c>
      <c r="P165" s="92" t="s">
        <v>64</v>
      </c>
      <c r="Q165" s="78" t="s">
        <v>16</v>
      </c>
      <c r="R165" s="163"/>
      <c r="S165" s="104"/>
      <c r="T165" s="22"/>
      <c r="U165" s="22"/>
      <c r="V165" s="91"/>
      <c r="X165"/>
      <c r="Y165" s="69"/>
      <c r="Z165"/>
      <c r="AA165" s="33"/>
    </row>
    <row r="166" spans="1:27" s="73" customFormat="1" ht="30" hidden="1">
      <c r="A166" s="79">
        <v>140</v>
      </c>
      <c r="B166" s="92" t="s">
        <v>20</v>
      </c>
      <c r="C166" s="92">
        <v>2</v>
      </c>
      <c r="D166" s="92" t="s">
        <v>24</v>
      </c>
      <c r="E166" s="92" t="s">
        <v>26</v>
      </c>
      <c r="F166" s="92">
        <v>32</v>
      </c>
      <c r="G166" s="87" t="s">
        <v>79</v>
      </c>
      <c r="H166" s="93">
        <v>4.5</v>
      </c>
      <c r="I166" s="4">
        <v>110</v>
      </c>
      <c r="J166" s="4">
        <v>105</v>
      </c>
      <c r="K166" s="103">
        <v>4.5</v>
      </c>
      <c r="L166" s="93"/>
      <c r="M166" s="114" t="s">
        <v>115</v>
      </c>
      <c r="N166" s="88" t="s">
        <v>158</v>
      </c>
      <c r="O166" s="89">
        <v>43841</v>
      </c>
      <c r="P166" s="92" t="s">
        <v>64</v>
      </c>
      <c r="Q166" s="78" t="s">
        <v>16</v>
      </c>
      <c r="R166" s="163"/>
      <c r="S166" s="104"/>
      <c r="T166" s="22"/>
      <c r="U166" s="22"/>
      <c r="V166" s="91"/>
      <c r="X166"/>
      <c r="Y166" s="69"/>
      <c r="Z166"/>
      <c r="AA166" s="33"/>
    </row>
    <row r="167" spans="1:27" s="73" customFormat="1" ht="30" hidden="1">
      <c r="A167" s="79">
        <v>141</v>
      </c>
      <c r="B167" s="92" t="s">
        <v>20</v>
      </c>
      <c r="C167" s="92">
        <v>2</v>
      </c>
      <c r="D167" s="92" t="s">
        <v>24</v>
      </c>
      <c r="E167" s="92" t="s">
        <v>26</v>
      </c>
      <c r="F167" s="92">
        <v>46</v>
      </c>
      <c r="G167" s="87" t="s">
        <v>69</v>
      </c>
      <c r="H167" s="93">
        <v>1</v>
      </c>
      <c r="I167" s="4">
        <v>25</v>
      </c>
      <c r="J167" s="4">
        <v>23</v>
      </c>
      <c r="K167" s="103">
        <v>1</v>
      </c>
      <c r="L167" s="93"/>
      <c r="M167" s="114" t="s">
        <v>115</v>
      </c>
      <c r="N167" s="88" t="s">
        <v>158</v>
      </c>
      <c r="O167" s="89">
        <v>43841</v>
      </c>
      <c r="P167" s="92" t="s">
        <v>64</v>
      </c>
      <c r="Q167" s="78" t="s">
        <v>16</v>
      </c>
      <c r="R167" s="163"/>
      <c r="S167" s="104"/>
      <c r="T167" s="22"/>
      <c r="U167" s="22"/>
      <c r="V167" s="91"/>
      <c r="X167"/>
      <c r="Y167" s="69"/>
      <c r="Z167"/>
      <c r="AA167" s="33"/>
    </row>
    <row r="168" spans="1:27" s="73" customFormat="1" ht="30" hidden="1">
      <c r="A168" s="79">
        <v>142</v>
      </c>
      <c r="B168" s="92" t="s">
        <v>20</v>
      </c>
      <c r="C168" s="92">
        <v>4</v>
      </c>
      <c r="D168" s="92" t="s">
        <v>22</v>
      </c>
      <c r="E168" s="92" t="s">
        <v>26</v>
      </c>
      <c r="F168" s="92">
        <v>1</v>
      </c>
      <c r="G168" s="87" t="s">
        <v>72</v>
      </c>
      <c r="H168" s="93">
        <v>4.4000000000000004</v>
      </c>
      <c r="I168" s="4">
        <v>187</v>
      </c>
      <c r="J168" s="4">
        <f>166+4</f>
        <v>170</v>
      </c>
      <c r="K168" s="103">
        <v>4.4000000000000004</v>
      </c>
      <c r="L168" s="93"/>
      <c r="M168" s="114" t="s">
        <v>115</v>
      </c>
      <c r="N168" s="88" t="s">
        <v>159</v>
      </c>
      <c r="O168" s="89">
        <v>43841</v>
      </c>
      <c r="P168" s="92" t="s">
        <v>64</v>
      </c>
      <c r="Q168" s="78" t="s">
        <v>16</v>
      </c>
      <c r="R168" s="163">
        <v>10276</v>
      </c>
      <c r="S168" s="104"/>
      <c r="T168" s="22"/>
      <c r="U168" s="22"/>
      <c r="V168" s="91"/>
      <c r="X168"/>
      <c r="Y168" s="69"/>
      <c r="Z168"/>
      <c r="AA168" s="33"/>
    </row>
    <row r="169" spans="1:27" s="73" customFormat="1" ht="30" hidden="1">
      <c r="A169" s="79">
        <v>143</v>
      </c>
      <c r="B169" s="92" t="s">
        <v>20</v>
      </c>
      <c r="C169" s="92">
        <v>2</v>
      </c>
      <c r="D169" s="92" t="s">
        <v>22</v>
      </c>
      <c r="E169" s="92" t="s">
        <v>26</v>
      </c>
      <c r="F169" s="92">
        <v>19</v>
      </c>
      <c r="G169" s="87" t="s">
        <v>77</v>
      </c>
      <c r="H169" s="93">
        <v>6.7</v>
      </c>
      <c r="I169" s="4">
        <v>299</v>
      </c>
      <c r="J169" s="4">
        <f>233+6</f>
        <v>239</v>
      </c>
      <c r="K169" s="103">
        <v>6.7</v>
      </c>
      <c r="L169" s="93"/>
      <c r="M169" s="114" t="s">
        <v>115</v>
      </c>
      <c r="N169" s="88" t="s">
        <v>159</v>
      </c>
      <c r="O169" s="89">
        <v>43841</v>
      </c>
      <c r="P169" s="92" t="s">
        <v>64</v>
      </c>
      <c r="Q169" s="78" t="s">
        <v>16</v>
      </c>
      <c r="R169" s="163">
        <v>9702</v>
      </c>
      <c r="S169" s="104"/>
      <c r="T169" s="22"/>
      <c r="U169" s="22"/>
      <c r="V169" s="91"/>
      <c r="X169"/>
      <c r="Y169" s="69"/>
      <c r="Z169"/>
      <c r="AA169" s="33"/>
    </row>
    <row r="170" spans="1:27" s="73" customFormat="1" ht="30" hidden="1">
      <c r="A170" s="79">
        <v>144</v>
      </c>
      <c r="B170" s="92" t="s">
        <v>20</v>
      </c>
      <c r="C170" s="92">
        <v>4</v>
      </c>
      <c r="D170" s="92" t="s">
        <v>22</v>
      </c>
      <c r="E170" s="92" t="s">
        <v>26</v>
      </c>
      <c r="F170" s="92">
        <v>40</v>
      </c>
      <c r="G170" s="87" t="s">
        <v>71</v>
      </c>
      <c r="H170" s="93">
        <v>3.5</v>
      </c>
      <c r="I170" s="4">
        <v>184</v>
      </c>
      <c r="J170" s="4">
        <f>156+2</f>
        <v>158</v>
      </c>
      <c r="K170" s="103">
        <v>3.5</v>
      </c>
      <c r="L170" s="93"/>
      <c r="M170" s="114" t="s">
        <v>115</v>
      </c>
      <c r="N170" s="88" t="s">
        <v>159</v>
      </c>
      <c r="O170" s="89">
        <v>43841</v>
      </c>
      <c r="P170" s="92" t="s">
        <v>64</v>
      </c>
      <c r="Q170" s="78" t="s">
        <v>16</v>
      </c>
      <c r="R170" s="163">
        <v>2273</v>
      </c>
      <c r="S170" s="104"/>
      <c r="T170" s="22"/>
      <c r="U170" s="22"/>
      <c r="V170" s="91"/>
      <c r="X170"/>
      <c r="Y170" s="69"/>
      <c r="Z170"/>
      <c r="AA170" s="33"/>
    </row>
    <row r="171" spans="1:27" s="73" customFormat="1" ht="30" hidden="1">
      <c r="A171" s="79">
        <v>145</v>
      </c>
      <c r="B171" s="92" t="s">
        <v>20</v>
      </c>
      <c r="C171" s="92">
        <v>4</v>
      </c>
      <c r="D171" s="92" t="s">
        <v>32</v>
      </c>
      <c r="E171" s="92" t="s">
        <v>28</v>
      </c>
      <c r="F171" s="92">
        <v>11</v>
      </c>
      <c r="G171" s="87" t="s">
        <v>69</v>
      </c>
      <c r="H171" s="93">
        <v>0.5</v>
      </c>
      <c r="I171" s="4">
        <v>23</v>
      </c>
      <c r="J171" s="4">
        <v>17</v>
      </c>
      <c r="K171" s="103">
        <v>0.5</v>
      </c>
      <c r="L171" s="93"/>
      <c r="M171" s="114" t="s">
        <v>115</v>
      </c>
      <c r="N171" s="88" t="s">
        <v>187</v>
      </c>
      <c r="O171" s="89">
        <v>43834</v>
      </c>
      <c r="P171" s="92" t="s">
        <v>64</v>
      </c>
      <c r="Q171" s="78" t="s">
        <v>16</v>
      </c>
      <c r="R171" s="163">
        <v>299</v>
      </c>
      <c r="S171" s="104"/>
      <c r="T171" s="22"/>
      <c r="U171" s="22"/>
      <c r="V171" s="91"/>
      <c r="X171"/>
      <c r="Y171" s="69"/>
      <c r="Z171"/>
      <c r="AA171" s="33"/>
    </row>
    <row r="172" spans="1:27" s="73" customFormat="1" ht="30" hidden="1">
      <c r="A172" s="79">
        <v>146</v>
      </c>
      <c r="B172" s="92" t="s">
        <v>20</v>
      </c>
      <c r="C172" s="92">
        <v>4</v>
      </c>
      <c r="D172" s="92" t="s">
        <v>32</v>
      </c>
      <c r="E172" s="92" t="s">
        <v>28</v>
      </c>
      <c r="F172" s="92">
        <v>30</v>
      </c>
      <c r="G172" s="87" t="s">
        <v>74</v>
      </c>
      <c r="H172" s="93">
        <v>1.2</v>
      </c>
      <c r="I172" s="4">
        <v>63</v>
      </c>
      <c r="J172" s="4">
        <f>43+1</f>
        <v>44</v>
      </c>
      <c r="K172" s="103">
        <v>1.2</v>
      </c>
      <c r="L172" s="93"/>
      <c r="M172" s="114" t="s">
        <v>115</v>
      </c>
      <c r="N172" s="88" t="s">
        <v>187</v>
      </c>
      <c r="O172" s="89">
        <v>43834</v>
      </c>
      <c r="P172" s="92" t="s">
        <v>64</v>
      </c>
      <c r="Q172" s="78" t="s">
        <v>16</v>
      </c>
      <c r="R172" s="163">
        <v>1460</v>
      </c>
      <c r="S172" s="104"/>
      <c r="T172" s="22"/>
      <c r="U172" s="22"/>
      <c r="V172" s="91"/>
      <c r="X172"/>
      <c r="Y172" s="69"/>
      <c r="Z172"/>
      <c r="AA172" s="33"/>
    </row>
    <row r="173" spans="1:27" s="73" customFormat="1" ht="30" hidden="1">
      <c r="A173" s="79">
        <v>147</v>
      </c>
      <c r="B173" s="92" t="s">
        <v>20</v>
      </c>
      <c r="C173" s="92">
        <v>2</v>
      </c>
      <c r="D173" s="92" t="s">
        <v>32</v>
      </c>
      <c r="E173" s="92" t="s">
        <v>26</v>
      </c>
      <c r="F173" s="92">
        <v>42</v>
      </c>
      <c r="G173" s="87" t="s">
        <v>186</v>
      </c>
      <c r="H173" s="93">
        <v>0.2</v>
      </c>
      <c r="I173" s="4">
        <v>33</v>
      </c>
      <c r="J173" s="4">
        <v>18</v>
      </c>
      <c r="K173" s="103">
        <v>0.2</v>
      </c>
      <c r="L173" s="93"/>
      <c r="M173" s="114" t="s">
        <v>115</v>
      </c>
      <c r="N173" s="88" t="s">
        <v>187</v>
      </c>
      <c r="O173" s="89">
        <v>43834</v>
      </c>
      <c r="P173" s="92" t="s">
        <v>64</v>
      </c>
      <c r="Q173" s="78" t="s">
        <v>16</v>
      </c>
      <c r="R173" s="163">
        <v>140</v>
      </c>
      <c r="S173" s="104"/>
      <c r="T173" s="22"/>
      <c r="U173" s="22"/>
      <c r="V173" s="91"/>
      <c r="X173"/>
      <c r="Y173" s="69"/>
      <c r="Z173"/>
      <c r="AA173" s="33"/>
    </row>
    <row r="174" spans="1:27" s="73" customFormat="1" ht="30" hidden="1">
      <c r="A174" s="79">
        <v>148</v>
      </c>
      <c r="B174" s="92" t="s">
        <v>20</v>
      </c>
      <c r="C174" s="92">
        <v>4</v>
      </c>
      <c r="D174" s="92" t="s">
        <v>32</v>
      </c>
      <c r="E174" s="92" t="s">
        <v>26</v>
      </c>
      <c r="F174" s="92">
        <v>21</v>
      </c>
      <c r="G174" s="87" t="s">
        <v>71</v>
      </c>
      <c r="H174" s="93">
        <v>12.8</v>
      </c>
      <c r="I174" s="4">
        <v>334</v>
      </c>
      <c r="J174" s="4">
        <f>254+10</f>
        <v>264</v>
      </c>
      <c r="K174" s="103">
        <v>12.8</v>
      </c>
      <c r="L174" s="93"/>
      <c r="M174" s="114" t="s">
        <v>115</v>
      </c>
      <c r="N174" s="88" t="s">
        <v>187</v>
      </c>
      <c r="O174" s="89">
        <v>43834</v>
      </c>
      <c r="P174" s="92" t="s">
        <v>64</v>
      </c>
      <c r="Q174" s="78" t="s">
        <v>16</v>
      </c>
      <c r="R174" s="163">
        <v>3280</v>
      </c>
      <c r="S174" s="104"/>
      <c r="T174" s="22"/>
      <c r="U174" s="22"/>
      <c r="V174" s="91"/>
      <c r="X174"/>
      <c r="Y174" s="69"/>
      <c r="Z174"/>
      <c r="AA174" s="33"/>
    </row>
    <row r="175" spans="1:27" s="73" customFormat="1" ht="30" hidden="1">
      <c r="A175" s="79">
        <v>149</v>
      </c>
      <c r="B175" s="92" t="s">
        <v>20</v>
      </c>
      <c r="C175" s="92">
        <v>4</v>
      </c>
      <c r="D175" s="92" t="s">
        <v>32</v>
      </c>
      <c r="E175" s="92" t="s">
        <v>26</v>
      </c>
      <c r="F175" s="92">
        <v>24</v>
      </c>
      <c r="G175" s="87" t="s">
        <v>85</v>
      </c>
      <c r="H175" s="93">
        <v>6.6</v>
      </c>
      <c r="I175" s="4">
        <v>171</v>
      </c>
      <c r="J175" s="4">
        <f>125+3</f>
        <v>128</v>
      </c>
      <c r="K175" s="103">
        <v>6.6</v>
      </c>
      <c r="L175" s="93"/>
      <c r="M175" s="114" t="s">
        <v>115</v>
      </c>
      <c r="N175" s="88" t="s">
        <v>187</v>
      </c>
      <c r="O175" s="89">
        <v>43834</v>
      </c>
      <c r="P175" s="92" t="s">
        <v>64</v>
      </c>
      <c r="Q175" s="78" t="s">
        <v>16</v>
      </c>
      <c r="R175" s="163">
        <v>1946</v>
      </c>
      <c r="S175" s="104"/>
      <c r="T175" s="22"/>
      <c r="U175" s="22"/>
      <c r="V175" s="91"/>
      <c r="X175"/>
      <c r="Y175" s="69"/>
      <c r="Z175"/>
      <c r="AA175" s="33"/>
    </row>
    <row r="176" spans="1:27" s="73" customFormat="1" ht="30" hidden="1">
      <c r="A176" s="79">
        <v>150</v>
      </c>
      <c r="B176" s="92" t="s">
        <v>20</v>
      </c>
      <c r="C176" s="92">
        <v>4</v>
      </c>
      <c r="D176" s="92" t="s">
        <v>32</v>
      </c>
      <c r="E176" s="92" t="s">
        <v>26</v>
      </c>
      <c r="F176" s="92">
        <v>40</v>
      </c>
      <c r="G176" s="87" t="s">
        <v>72</v>
      </c>
      <c r="H176" s="93">
        <v>4.5</v>
      </c>
      <c r="I176" s="4">
        <v>81</v>
      </c>
      <c r="J176" s="4">
        <f>65+1</f>
        <v>66</v>
      </c>
      <c r="K176" s="103">
        <v>4.5</v>
      </c>
      <c r="L176" s="93"/>
      <c r="M176" s="114" t="s">
        <v>115</v>
      </c>
      <c r="N176" s="88" t="s">
        <v>187</v>
      </c>
      <c r="O176" s="89">
        <v>43834</v>
      </c>
      <c r="P176" s="92" t="s">
        <v>64</v>
      </c>
      <c r="Q176" s="78" t="s">
        <v>16</v>
      </c>
      <c r="R176" s="163">
        <v>2008</v>
      </c>
      <c r="S176" s="104"/>
      <c r="T176" s="22"/>
      <c r="U176" s="22"/>
      <c r="V176" s="91"/>
      <c r="X176"/>
      <c r="Y176" s="69"/>
      <c r="Z176"/>
      <c r="AA176" s="33"/>
    </row>
    <row r="177" spans="1:27" s="73" customFormat="1" ht="45" hidden="1">
      <c r="A177" s="79">
        <v>151</v>
      </c>
      <c r="B177" s="92" t="s">
        <v>20</v>
      </c>
      <c r="C177" s="92">
        <v>4</v>
      </c>
      <c r="D177" s="92" t="s">
        <v>125</v>
      </c>
      <c r="E177" s="92" t="s">
        <v>26</v>
      </c>
      <c r="F177" s="92">
        <v>15</v>
      </c>
      <c r="G177" s="87" t="s">
        <v>71</v>
      </c>
      <c r="H177" s="93">
        <v>0.5</v>
      </c>
      <c r="I177" s="4">
        <v>2</v>
      </c>
      <c r="J177" s="4">
        <v>2</v>
      </c>
      <c r="K177" s="103">
        <v>0.5</v>
      </c>
      <c r="L177" s="93"/>
      <c r="M177" s="114" t="s">
        <v>115</v>
      </c>
      <c r="N177" s="88" t="s">
        <v>239</v>
      </c>
      <c r="O177" s="89">
        <v>43850</v>
      </c>
      <c r="P177" s="92" t="s">
        <v>64</v>
      </c>
      <c r="Q177" s="78" t="s">
        <v>16</v>
      </c>
      <c r="R177" s="163">
        <v>15</v>
      </c>
      <c r="S177" s="104"/>
      <c r="T177" s="22"/>
      <c r="U177" s="22"/>
      <c r="V177" s="91"/>
      <c r="X177"/>
      <c r="Y177" s="69"/>
      <c r="Z177"/>
      <c r="AA177" s="33"/>
    </row>
    <row r="178" spans="1:27" s="73" customFormat="1" ht="45" hidden="1">
      <c r="A178" s="79">
        <v>152</v>
      </c>
      <c r="B178" s="92" t="s">
        <v>20</v>
      </c>
      <c r="C178" s="92">
        <v>4</v>
      </c>
      <c r="D178" s="92" t="s">
        <v>125</v>
      </c>
      <c r="E178" s="92" t="s">
        <v>26</v>
      </c>
      <c r="F178" s="92">
        <v>16</v>
      </c>
      <c r="G178" s="87" t="s">
        <v>71</v>
      </c>
      <c r="H178" s="93">
        <v>0.3</v>
      </c>
      <c r="I178" s="4">
        <v>1</v>
      </c>
      <c r="J178" s="4">
        <v>1</v>
      </c>
      <c r="K178" s="103">
        <v>0.3</v>
      </c>
      <c r="L178" s="93"/>
      <c r="M178" s="114" t="s">
        <v>115</v>
      </c>
      <c r="N178" s="88" t="s">
        <v>239</v>
      </c>
      <c r="O178" s="89">
        <v>43850</v>
      </c>
      <c r="P178" s="92" t="s">
        <v>64</v>
      </c>
      <c r="Q178" s="78" t="s">
        <v>16</v>
      </c>
      <c r="R178" s="163">
        <v>8</v>
      </c>
      <c r="S178" s="104"/>
      <c r="T178" s="22"/>
      <c r="U178" s="22"/>
      <c r="V178" s="91"/>
      <c r="X178"/>
      <c r="Y178" s="69"/>
      <c r="Z178"/>
      <c r="AA178" s="33"/>
    </row>
    <row r="179" spans="1:27" s="73" customFormat="1" ht="45" hidden="1">
      <c r="A179" s="79">
        <v>153</v>
      </c>
      <c r="B179" s="92" t="s">
        <v>20</v>
      </c>
      <c r="C179" s="92">
        <v>2</v>
      </c>
      <c r="D179" s="92" t="s">
        <v>125</v>
      </c>
      <c r="E179" s="92" t="s">
        <v>26</v>
      </c>
      <c r="F179" s="92">
        <v>47</v>
      </c>
      <c r="G179" s="87" t="s">
        <v>77</v>
      </c>
      <c r="H179" s="93">
        <v>1</v>
      </c>
      <c r="I179" s="4">
        <v>9</v>
      </c>
      <c r="J179" s="4">
        <v>6</v>
      </c>
      <c r="K179" s="103">
        <v>1</v>
      </c>
      <c r="L179" s="93"/>
      <c r="M179" s="114" t="s">
        <v>115</v>
      </c>
      <c r="N179" s="88" t="s">
        <v>239</v>
      </c>
      <c r="O179" s="89">
        <v>43850</v>
      </c>
      <c r="P179" s="92" t="s">
        <v>64</v>
      </c>
      <c r="Q179" s="78" t="s">
        <v>16</v>
      </c>
      <c r="R179" s="163">
        <v>46</v>
      </c>
      <c r="S179" s="104"/>
      <c r="T179" s="22"/>
      <c r="U179" s="22"/>
      <c r="V179" s="91"/>
      <c r="X179"/>
      <c r="Y179" s="69"/>
      <c r="Z179"/>
      <c r="AA179" s="33"/>
    </row>
    <row r="180" spans="1:27" s="73" customFormat="1" ht="45" hidden="1">
      <c r="A180" s="79">
        <v>154</v>
      </c>
      <c r="B180" s="92" t="s">
        <v>20</v>
      </c>
      <c r="C180" s="92">
        <v>4</v>
      </c>
      <c r="D180" s="92" t="s">
        <v>125</v>
      </c>
      <c r="E180" s="92" t="s">
        <v>26</v>
      </c>
      <c r="F180" s="92">
        <v>6</v>
      </c>
      <c r="G180" s="87" t="s">
        <v>238</v>
      </c>
      <c r="H180" s="93">
        <v>0.5</v>
      </c>
      <c r="I180" s="4">
        <v>5</v>
      </c>
      <c r="J180" s="4">
        <v>4</v>
      </c>
      <c r="K180" s="103">
        <v>0.5</v>
      </c>
      <c r="L180" s="93"/>
      <c r="M180" s="114" t="s">
        <v>115</v>
      </c>
      <c r="N180" s="88" t="s">
        <v>239</v>
      </c>
      <c r="O180" s="89">
        <v>43850</v>
      </c>
      <c r="P180" s="92" t="s">
        <v>64</v>
      </c>
      <c r="Q180" s="78" t="s">
        <v>16</v>
      </c>
      <c r="R180" s="163">
        <v>38</v>
      </c>
      <c r="S180" s="104"/>
      <c r="T180" s="22"/>
      <c r="U180" s="22"/>
      <c r="V180" s="91"/>
      <c r="X180"/>
      <c r="Y180" s="69"/>
      <c r="Z180"/>
      <c r="AA180" s="33"/>
    </row>
    <row r="181" spans="1:27" s="73" customFormat="1" ht="45" hidden="1">
      <c r="A181" s="79">
        <v>155</v>
      </c>
      <c r="B181" s="92" t="s">
        <v>20</v>
      </c>
      <c r="C181" s="92">
        <v>4</v>
      </c>
      <c r="D181" s="92" t="s">
        <v>125</v>
      </c>
      <c r="E181" s="92" t="s">
        <v>26</v>
      </c>
      <c r="F181" s="92">
        <v>6</v>
      </c>
      <c r="G181" s="87" t="s">
        <v>69</v>
      </c>
      <c r="H181" s="93">
        <v>0.3</v>
      </c>
      <c r="I181" s="4">
        <v>2</v>
      </c>
      <c r="J181" s="4">
        <v>2</v>
      </c>
      <c r="K181" s="103">
        <v>0.3</v>
      </c>
      <c r="L181" s="93"/>
      <c r="M181" s="114" t="s">
        <v>115</v>
      </c>
      <c r="N181" s="88" t="s">
        <v>239</v>
      </c>
      <c r="O181" s="89">
        <v>43850</v>
      </c>
      <c r="P181" s="92" t="s">
        <v>64</v>
      </c>
      <c r="Q181" s="78" t="s">
        <v>16</v>
      </c>
      <c r="R181" s="163">
        <v>18</v>
      </c>
      <c r="S181" s="104"/>
      <c r="T181" s="22"/>
      <c r="U181" s="22"/>
      <c r="V181" s="91"/>
      <c r="X181"/>
      <c r="Y181" s="69"/>
      <c r="Z181"/>
      <c r="AA181" s="33"/>
    </row>
    <row r="182" spans="1:27" s="73" customFormat="1" ht="45" hidden="1">
      <c r="A182" s="79">
        <v>156</v>
      </c>
      <c r="B182" s="92" t="s">
        <v>20</v>
      </c>
      <c r="C182" s="92">
        <v>4</v>
      </c>
      <c r="D182" s="92" t="s">
        <v>237</v>
      </c>
      <c r="E182" s="92" t="s">
        <v>26</v>
      </c>
      <c r="F182" s="92">
        <v>6</v>
      </c>
      <c r="G182" s="87" t="s">
        <v>68</v>
      </c>
      <c r="H182" s="93">
        <v>0.5</v>
      </c>
      <c r="I182" s="4">
        <v>5</v>
      </c>
      <c r="J182" s="4">
        <v>5</v>
      </c>
      <c r="K182" s="103">
        <v>0.5</v>
      </c>
      <c r="L182" s="93"/>
      <c r="M182" s="114" t="s">
        <v>115</v>
      </c>
      <c r="N182" s="88" t="s">
        <v>239</v>
      </c>
      <c r="O182" s="89">
        <v>43850</v>
      </c>
      <c r="P182" s="92" t="s">
        <v>64</v>
      </c>
      <c r="Q182" s="78" t="s">
        <v>16</v>
      </c>
      <c r="R182" s="163">
        <v>45</v>
      </c>
      <c r="S182" s="104"/>
      <c r="T182" s="22"/>
      <c r="U182" s="22"/>
      <c r="V182" s="91"/>
      <c r="X182"/>
      <c r="Y182" s="69"/>
      <c r="Z182"/>
      <c r="AA182" s="33"/>
    </row>
    <row r="183" spans="1:27" s="73" customFormat="1" ht="45" hidden="1">
      <c r="A183" s="79">
        <v>157</v>
      </c>
      <c r="B183" s="92" t="s">
        <v>20</v>
      </c>
      <c r="C183" s="92">
        <v>4</v>
      </c>
      <c r="D183" s="92" t="s">
        <v>125</v>
      </c>
      <c r="E183" s="92" t="s">
        <v>197</v>
      </c>
      <c r="F183" s="92">
        <v>8</v>
      </c>
      <c r="G183" s="87" t="s">
        <v>88</v>
      </c>
      <c r="H183" s="93">
        <v>0.1</v>
      </c>
      <c r="I183" s="4">
        <v>1</v>
      </c>
      <c r="J183" s="4">
        <v>1</v>
      </c>
      <c r="K183" s="103">
        <v>0.1</v>
      </c>
      <c r="L183" s="93"/>
      <c r="M183" s="114" t="s">
        <v>115</v>
      </c>
      <c r="N183" s="88" t="s">
        <v>239</v>
      </c>
      <c r="O183" s="89">
        <v>43850</v>
      </c>
      <c r="P183" s="92" t="s">
        <v>64</v>
      </c>
      <c r="Q183" s="78" t="s">
        <v>16</v>
      </c>
      <c r="R183" s="163">
        <v>8</v>
      </c>
      <c r="S183" s="104"/>
      <c r="T183" s="22"/>
      <c r="U183" s="22"/>
      <c r="V183" s="91"/>
      <c r="X183"/>
      <c r="Y183" s="69"/>
      <c r="Z183"/>
      <c r="AA183" s="33"/>
    </row>
    <row r="184" spans="1:27" s="73" customFormat="1" ht="30" hidden="1">
      <c r="A184" s="79">
        <v>158</v>
      </c>
      <c r="B184" s="92" t="s">
        <v>20</v>
      </c>
      <c r="C184" s="92">
        <v>4</v>
      </c>
      <c r="D184" s="92" t="s">
        <v>244</v>
      </c>
      <c r="E184" s="92" t="s">
        <v>245</v>
      </c>
      <c r="F184" s="92">
        <v>1</v>
      </c>
      <c r="G184" s="87" t="s">
        <v>71</v>
      </c>
      <c r="H184" s="93">
        <v>0.4</v>
      </c>
      <c r="I184" s="4">
        <v>92</v>
      </c>
      <c r="J184" s="4">
        <v>82</v>
      </c>
      <c r="K184" s="103">
        <v>0.4</v>
      </c>
      <c r="L184" s="93"/>
      <c r="M184" s="114" t="s">
        <v>115</v>
      </c>
      <c r="N184" s="88" t="s">
        <v>246</v>
      </c>
      <c r="O184" s="89">
        <v>43858</v>
      </c>
      <c r="P184" s="92" t="s">
        <v>64</v>
      </c>
      <c r="Q184" s="78" t="s">
        <v>16</v>
      </c>
      <c r="R184" s="163">
        <v>715</v>
      </c>
      <c r="S184" s="104"/>
      <c r="T184" s="22"/>
      <c r="U184" s="22"/>
      <c r="V184" s="91"/>
      <c r="X184"/>
      <c r="Y184" s="69"/>
      <c r="Z184"/>
      <c r="AA184" s="33"/>
    </row>
    <row r="185" spans="1:27" s="73" customFormat="1">
      <c r="A185" s="79"/>
      <c r="B185" s="446" t="s">
        <v>20</v>
      </c>
      <c r="C185" s="446"/>
      <c r="D185" s="92" t="s">
        <v>286</v>
      </c>
      <c r="E185" s="92"/>
      <c r="F185" s="92"/>
      <c r="G185" s="87"/>
      <c r="H185" s="93"/>
      <c r="I185" s="4"/>
      <c r="J185" s="163">
        <f>J168+J169+J170</f>
        <v>567</v>
      </c>
      <c r="K185" s="103"/>
      <c r="L185" s="93"/>
      <c r="M185" s="114"/>
      <c r="N185" s="88"/>
      <c r="O185" s="89"/>
      <c r="P185" s="92" t="s">
        <v>64</v>
      </c>
      <c r="Q185" s="78" t="s">
        <v>16</v>
      </c>
      <c r="R185" s="163">
        <f>R168+R169+R170</f>
        <v>22251</v>
      </c>
      <c r="S185" s="104"/>
      <c r="T185" s="22"/>
      <c r="U185" s="22"/>
      <c r="V185" s="91"/>
      <c r="X185"/>
      <c r="Y185" s="69"/>
      <c r="Z185"/>
      <c r="AA185" s="33"/>
    </row>
    <row r="186" spans="1:27" s="73" customFormat="1">
      <c r="A186" s="79"/>
      <c r="B186" s="446"/>
      <c r="C186" s="446"/>
      <c r="D186" s="92" t="s">
        <v>284</v>
      </c>
      <c r="E186" s="92"/>
      <c r="F186" s="92"/>
      <c r="G186" s="87"/>
      <c r="H186" s="93"/>
      <c r="I186" s="4"/>
      <c r="J186" s="163">
        <f>J171+J172+J173+J174+J175+J176</f>
        <v>537</v>
      </c>
      <c r="K186" s="103"/>
      <c r="L186" s="93"/>
      <c r="M186" s="114"/>
      <c r="N186" s="88"/>
      <c r="O186" s="89"/>
      <c r="P186" s="92" t="s">
        <v>64</v>
      </c>
      <c r="Q186" s="78" t="s">
        <v>16</v>
      </c>
      <c r="R186" s="163">
        <f>R171+R172+R173+R174+R175+R176</f>
        <v>9133</v>
      </c>
      <c r="S186" s="104"/>
      <c r="T186" s="22"/>
      <c r="U186" s="22"/>
      <c r="V186" s="91"/>
      <c r="X186"/>
      <c r="Y186" s="69"/>
      <c r="Z186"/>
      <c r="AA186" s="33"/>
    </row>
    <row r="187" spans="1:27" s="73" customFormat="1" ht="21.75" customHeight="1">
      <c r="A187" s="79"/>
      <c r="B187" s="446"/>
      <c r="C187" s="446"/>
      <c r="D187" s="92" t="s">
        <v>125</v>
      </c>
      <c r="E187" s="92"/>
      <c r="F187" s="92"/>
      <c r="G187" s="87"/>
      <c r="H187" s="93"/>
      <c r="I187" s="4"/>
      <c r="J187" s="163">
        <f>J177+J178+J179+J180+J181+J182+J183</f>
        <v>21</v>
      </c>
      <c r="K187" s="103"/>
      <c r="L187" s="93"/>
      <c r="M187" s="114"/>
      <c r="N187" s="88"/>
      <c r="O187" s="89"/>
      <c r="P187" s="92" t="s">
        <v>64</v>
      </c>
      <c r="Q187" s="78" t="s">
        <v>16</v>
      </c>
      <c r="R187" s="163">
        <f>R177+R178+R179+R180+R181+R182+R183</f>
        <v>178</v>
      </c>
      <c r="S187" s="104"/>
      <c r="T187" s="22"/>
      <c r="U187" s="22"/>
      <c r="V187" s="91"/>
      <c r="X187"/>
      <c r="Y187" s="69"/>
      <c r="Z187"/>
      <c r="AA187" s="33"/>
    </row>
    <row r="188" spans="1:27" s="73" customFormat="1">
      <c r="A188" s="79"/>
      <c r="B188" s="446"/>
      <c r="C188" s="446"/>
      <c r="D188" s="92" t="s">
        <v>244</v>
      </c>
      <c r="E188" s="92"/>
      <c r="F188" s="92"/>
      <c r="G188" s="87"/>
      <c r="H188" s="93"/>
      <c r="I188" s="4"/>
      <c r="J188" s="163">
        <f>J184</f>
        <v>82</v>
      </c>
      <c r="K188" s="103"/>
      <c r="L188" s="93"/>
      <c r="M188" s="114"/>
      <c r="N188" s="88"/>
      <c r="O188" s="89"/>
      <c r="P188" s="92" t="s">
        <v>64</v>
      </c>
      <c r="Q188" s="78" t="s">
        <v>16</v>
      </c>
      <c r="R188" s="163">
        <f>R184</f>
        <v>715</v>
      </c>
      <c r="S188" s="104"/>
      <c r="T188" s="22"/>
      <c r="U188" s="22"/>
      <c r="V188" s="91"/>
      <c r="X188"/>
      <c r="Y188" s="69"/>
      <c r="Z188"/>
      <c r="AA188" s="33"/>
    </row>
    <row r="189" spans="1:27" s="73" customFormat="1" hidden="1">
      <c r="A189" s="79">
        <v>159</v>
      </c>
      <c r="B189" s="92" t="s">
        <v>11</v>
      </c>
      <c r="C189" s="92">
        <v>2</v>
      </c>
      <c r="D189" s="92" t="s">
        <v>31</v>
      </c>
      <c r="E189" s="92" t="s">
        <v>26</v>
      </c>
      <c r="F189" s="92">
        <v>17</v>
      </c>
      <c r="G189" s="87" t="s">
        <v>188</v>
      </c>
      <c r="H189" s="93">
        <v>3</v>
      </c>
      <c r="I189" s="4">
        <v>16</v>
      </c>
      <c r="J189" s="4"/>
      <c r="K189" s="103">
        <v>3</v>
      </c>
      <c r="L189" s="93"/>
      <c r="M189" s="114" t="s">
        <v>115</v>
      </c>
      <c r="N189" s="88" t="s">
        <v>190</v>
      </c>
      <c r="O189" s="89">
        <v>43841</v>
      </c>
      <c r="P189" s="92" t="s">
        <v>64</v>
      </c>
      <c r="Q189" s="78" t="s">
        <v>104</v>
      </c>
      <c r="R189" s="163"/>
      <c r="S189" s="104"/>
      <c r="T189" s="22"/>
      <c r="U189" s="22"/>
      <c r="V189" s="91"/>
      <c r="X189"/>
      <c r="Y189" s="69"/>
      <c r="Z189"/>
      <c r="AA189" s="33"/>
    </row>
    <row r="190" spans="1:27" s="73" customFormat="1" hidden="1">
      <c r="A190" s="79">
        <v>160</v>
      </c>
      <c r="B190" s="92" t="s">
        <v>11</v>
      </c>
      <c r="C190" s="92">
        <v>2</v>
      </c>
      <c r="D190" s="92" t="s">
        <v>31</v>
      </c>
      <c r="E190" s="92" t="s">
        <v>26</v>
      </c>
      <c r="F190" s="92">
        <v>17</v>
      </c>
      <c r="G190" s="87" t="s">
        <v>189</v>
      </c>
      <c r="H190" s="93">
        <v>3</v>
      </c>
      <c r="I190" s="4">
        <v>9</v>
      </c>
      <c r="J190" s="4"/>
      <c r="K190" s="103">
        <v>3</v>
      </c>
      <c r="L190" s="93"/>
      <c r="M190" s="114" t="s">
        <v>115</v>
      </c>
      <c r="N190" s="88" t="s">
        <v>190</v>
      </c>
      <c r="O190" s="89">
        <v>43841</v>
      </c>
      <c r="P190" s="92" t="s">
        <v>64</v>
      </c>
      <c r="Q190" s="78" t="s">
        <v>104</v>
      </c>
      <c r="R190" s="163"/>
      <c r="S190" s="104"/>
      <c r="T190" s="22"/>
      <c r="U190" s="22"/>
      <c r="V190" s="91"/>
      <c r="X190"/>
      <c r="Y190" s="69"/>
      <c r="Z190"/>
      <c r="AA190" s="33"/>
    </row>
    <row r="191" spans="1:27" s="73" customFormat="1" hidden="1">
      <c r="A191" s="79">
        <v>161</v>
      </c>
      <c r="B191" s="92" t="s">
        <v>11</v>
      </c>
      <c r="C191" s="92">
        <v>2</v>
      </c>
      <c r="D191" s="92" t="s">
        <v>31</v>
      </c>
      <c r="E191" s="92" t="s">
        <v>26</v>
      </c>
      <c r="F191" s="92">
        <v>3</v>
      </c>
      <c r="G191" s="87" t="s">
        <v>76</v>
      </c>
      <c r="H191" s="93">
        <v>0.5</v>
      </c>
      <c r="I191" s="4">
        <v>8</v>
      </c>
      <c r="J191" s="4">
        <v>1</v>
      </c>
      <c r="K191" s="103">
        <v>0.5</v>
      </c>
      <c r="L191" s="93"/>
      <c r="M191" s="114" t="s">
        <v>115</v>
      </c>
      <c r="N191" s="88" t="s">
        <v>190</v>
      </c>
      <c r="O191" s="89">
        <v>43841</v>
      </c>
      <c r="P191" s="92" t="s">
        <v>64</v>
      </c>
      <c r="Q191" s="78" t="s">
        <v>39</v>
      </c>
      <c r="R191" s="163"/>
      <c r="S191" s="104"/>
      <c r="T191" s="22"/>
      <c r="U191" s="22"/>
      <c r="V191" s="91"/>
      <c r="X191"/>
      <c r="Y191" s="69"/>
      <c r="Z191"/>
      <c r="AA191" s="33"/>
    </row>
    <row r="192" spans="1:27" s="73" customFormat="1" hidden="1">
      <c r="A192" s="79">
        <v>162</v>
      </c>
      <c r="B192" s="92" t="s">
        <v>11</v>
      </c>
      <c r="C192" s="92">
        <v>2</v>
      </c>
      <c r="D192" s="92" t="s">
        <v>31</v>
      </c>
      <c r="E192" s="92" t="s">
        <v>26</v>
      </c>
      <c r="F192" s="92">
        <v>3</v>
      </c>
      <c r="G192" s="87" t="s">
        <v>95</v>
      </c>
      <c r="H192" s="93">
        <v>1.5</v>
      </c>
      <c r="I192" s="4">
        <v>29</v>
      </c>
      <c r="J192" s="4">
        <v>11</v>
      </c>
      <c r="K192" s="103">
        <v>1.5</v>
      </c>
      <c r="L192" s="93"/>
      <c r="M192" s="114" t="s">
        <v>115</v>
      </c>
      <c r="N192" s="88" t="s">
        <v>190</v>
      </c>
      <c r="O192" s="89">
        <v>43841</v>
      </c>
      <c r="P192" s="92" t="s">
        <v>64</v>
      </c>
      <c r="Q192" s="78" t="s">
        <v>39</v>
      </c>
      <c r="R192" s="163"/>
      <c r="S192" s="104"/>
      <c r="T192" s="22"/>
      <c r="U192" s="22"/>
      <c r="V192" s="91"/>
      <c r="X192"/>
      <c r="Y192" s="69"/>
      <c r="Z192"/>
      <c r="AA192" s="33"/>
    </row>
    <row r="193" spans="1:27" s="73" customFormat="1" hidden="1">
      <c r="A193" s="79">
        <v>163</v>
      </c>
      <c r="B193" s="92" t="s">
        <v>11</v>
      </c>
      <c r="C193" s="92">
        <v>2</v>
      </c>
      <c r="D193" s="92" t="s">
        <v>31</v>
      </c>
      <c r="E193" s="92" t="s">
        <v>28</v>
      </c>
      <c r="F193" s="92">
        <v>5</v>
      </c>
      <c r="G193" s="87" t="s">
        <v>79</v>
      </c>
      <c r="H193" s="93">
        <v>4.3</v>
      </c>
      <c r="I193" s="4">
        <v>53</v>
      </c>
      <c r="J193" s="4"/>
      <c r="K193" s="103">
        <v>4.3</v>
      </c>
      <c r="L193" s="93"/>
      <c r="M193" s="114" t="s">
        <v>115</v>
      </c>
      <c r="N193" s="88" t="s">
        <v>190</v>
      </c>
      <c r="O193" s="89">
        <v>43841</v>
      </c>
      <c r="P193" s="92" t="s">
        <v>64</v>
      </c>
      <c r="Q193" s="78" t="s">
        <v>39</v>
      </c>
      <c r="R193" s="163"/>
      <c r="S193" s="104"/>
      <c r="T193" s="22"/>
      <c r="U193" s="22"/>
      <c r="V193" s="91"/>
      <c r="X193"/>
      <c r="Y193" s="69"/>
      <c r="Z193"/>
      <c r="AA193" s="33"/>
    </row>
    <row r="194" spans="1:27" s="73" customFormat="1" hidden="1">
      <c r="A194" s="79">
        <v>164</v>
      </c>
      <c r="B194" s="92" t="s">
        <v>11</v>
      </c>
      <c r="C194" s="92">
        <v>2</v>
      </c>
      <c r="D194" s="92" t="s">
        <v>23</v>
      </c>
      <c r="E194" s="92" t="s">
        <v>26</v>
      </c>
      <c r="F194" s="92">
        <v>10</v>
      </c>
      <c r="G194" s="87" t="s">
        <v>67</v>
      </c>
      <c r="H194" s="93">
        <v>1.4</v>
      </c>
      <c r="I194" s="4">
        <v>24</v>
      </c>
      <c r="J194" s="4">
        <v>18</v>
      </c>
      <c r="K194" s="103">
        <v>1.4</v>
      </c>
      <c r="L194" s="93"/>
      <c r="M194" s="114" t="s">
        <v>115</v>
      </c>
      <c r="N194" s="88" t="s">
        <v>191</v>
      </c>
      <c r="O194" s="89">
        <v>43841</v>
      </c>
      <c r="P194" s="92" t="s">
        <v>64</v>
      </c>
      <c r="Q194" s="78" t="s">
        <v>40</v>
      </c>
      <c r="R194" s="163"/>
      <c r="S194" s="104"/>
      <c r="T194" s="22"/>
      <c r="U194" s="22"/>
      <c r="V194" s="91"/>
      <c r="X194"/>
      <c r="Y194" s="69"/>
      <c r="Z194"/>
      <c r="AA194" s="33"/>
    </row>
    <row r="195" spans="1:27" s="73" customFormat="1" hidden="1">
      <c r="A195" s="79">
        <v>165</v>
      </c>
      <c r="B195" s="92" t="s">
        <v>11</v>
      </c>
      <c r="C195" s="92">
        <v>2</v>
      </c>
      <c r="D195" s="92" t="s">
        <v>23</v>
      </c>
      <c r="E195" s="92" t="s">
        <v>26</v>
      </c>
      <c r="F195" s="92">
        <v>14</v>
      </c>
      <c r="G195" s="87" t="s">
        <v>79</v>
      </c>
      <c r="H195" s="93">
        <v>0.9</v>
      </c>
      <c r="I195" s="4">
        <v>22</v>
      </c>
      <c r="J195" s="4">
        <v>14</v>
      </c>
      <c r="K195" s="103">
        <v>0.9</v>
      </c>
      <c r="L195" s="93"/>
      <c r="M195" s="114" t="s">
        <v>115</v>
      </c>
      <c r="N195" s="88" t="s">
        <v>191</v>
      </c>
      <c r="O195" s="89">
        <v>43841</v>
      </c>
      <c r="P195" s="92" t="s">
        <v>64</v>
      </c>
      <c r="Q195" s="78" t="s">
        <v>104</v>
      </c>
      <c r="R195" s="163"/>
      <c r="S195" s="104"/>
      <c r="T195" s="22"/>
      <c r="U195" s="22"/>
      <c r="V195" s="91"/>
      <c r="X195"/>
      <c r="Y195" s="69"/>
      <c r="Z195"/>
      <c r="AA195" s="33"/>
    </row>
    <row r="196" spans="1:27" s="73" customFormat="1" hidden="1">
      <c r="A196" s="79">
        <v>166</v>
      </c>
      <c r="B196" s="92" t="s">
        <v>11</v>
      </c>
      <c r="C196" s="92">
        <v>2</v>
      </c>
      <c r="D196" s="92" t="s">
        <v>23</v>
      </c>
      <c r="E196" s="92" t="s">
        <v>26</v>
      </c>
      <c r="F196" s="92">
        <v>31</v>
      </c>
      <c r="G196" s="87" t="s">
        <v>76</v>
      </c>
      <c r="H196" s="93">
        <v>1.2</v>
      </c>
      <c r="I196" s="4">
        <v>20</v>
      </c>
      <c r="J196" s="4">
        <v>8</v>
      </c>
      <c r="K196" s="103">
        <v>1.2</v>
      </c>
      <c r="L196" s="93"/>
      <c r="M196" s="114" t="s">
        <v>115</v>
      </c>
      <c r="N196" s="88" t="s">
        <v>191</v>
      </c>
      <c r="O196" s="89">
        <v>43841</v>
      </c>
      <c r="P196" s="92" t="s">
        <v>64</v>
      </c>
      <c r="Q196" s="78" t="s">
        <v>58</v>
      </c>
      <c r="R196" s="163"/>
      <c r="S196" s="104"/>
      <c r="T196" s="22"/>
      <c r="U196" s="22"/>
      <c r="V196" s="91"/>
      <c r="X196"/>
      <c r="Y196" s="69"/>
      <c r="Z196"/>
      <c r="AA196" s="33"/>
    </row>
    <row r="197" spans="1:27" s="73" customFormat="1" hidden="1">
      <c r="A197" s="79">
        <v>167</v>
      </c>
      <c r="B197" s="92" t="s">
        <v>11</v>
      </c>
      <c r="C197" s="92">
        <v>2</v>
      </c>
      <c r="D197" s="92" t="s">
        <v>23</v>
      </c>
      <c r="E197" s="92" t="s">
        <v>26</v>
      </c>
      <c r="F197" s="92">
        <v>34</v>
      </c>
      <c r="G197" s="87" t="s">
        <v>69</v>
      </c>
      <c r="H197" s="93">
        <v>5.0999999999999996</v>
      </c>
      <c r="I197" s="4">
        <v>149</v>
      </c>
      <c r="J197" s="4">
        <v>149</v>
      </c>
      <c r="K197" s="103">
        <v>5.0999999999999996</v>
      </c>
      <c r="L197" s="93"/>
      <c r="M197" s="114" t="s">
        <v>115</v>
      </c>
      <c r="N197" s="88" t="s">
        <v>191</v>
      </c>
      <c r="O197" s="89">
        <v>43841</v>
      </c>
      <c r="P197" s="92" t="s">
        <v>64</v>
      </c>
      <c r="Q197" s="78" t="s">
        <v>59</v>
      </c>
      <c r="R197" s="163"/>
      <c r="S197" s="104"/>
      <c r="T197" s="22"/>
      <c r="U197" s="22"/>
      <c r="V197" s="91"/>
      <c r="X197"/>
      <c r="Y197" s="69"/>
      <c r="Z197"/>
      <c r="AA197" s="33"/>
    </row>
    <row r="198" spans="1:27" s="73" customFormat="1" hidden="1">
      <c r="A198" s="79">
        <v>168</v>
      </c>
      <c r="B198" s="92" t="s">
        <v>11</v>
      </c>
      <c r="C198" s="92">
        <v>2</v>
      </c>
      <c r="D198" s="92" t="s">
        <v>23</v>
      </c>
      <c r="E198" s="92" t="s">
        <v>26</v>
      </c>
      <c r="F198" s="92">
        <v>7</v>
      </c>
      <c r="G198" s="87" t="s">
        <v>75</v>
      </c>
      <c r="H198" s="93">
        <v>4.7</v>
      </c>
      <c r="I198" s="4">
        <v>73</v>
      </c>
      <c r="J198" s="4">
        <v>63</v>
      </c>
      <c r="K198" s="103">
        <v>4.7</v>
      </c>
      <c r="L198" s="93"/>
      <c r="M198" s="114" t="s">
        <v>115</v>
      </c>
      <c r="N198" s="88" t="s">
        <v>191</v>
      </c>
      <c r="O198" s="89">
        <v>43841</v>
      </c>
      <c r="P198" s="92" t="s">
        <v>64</v>
      </c>
      <c r="Q198" s="78" t="s">
        <v>40</v>
      </c>
      <c r="R198" s="163"/>
      <c r="S198" s="104"/>
      <c r="T198" s="22"/>
      <c r="U198" s="22"/>
      <c r="V198" s="91"/>
      <c r="X198"/>
      <c r="Y198" s="69"/>
      <c r="Z198"/>
      <c r="AA198" s="33"/>
    </row>
    <row r="199" spans="1:27" s="73" customFormat="1" hidden="1">
      <c r="A199" s="79">
        <v>169</v>
      </c>
      <c r="B199" s="92" t="s">
        <v>11</v>
      </c>
      <c r="C199" s="92">
        <v>2</v>
      </c>
      <c r="D199" s="92" t="s">
        <v>24</v>
      </c>
      <c r="E199" s="92" t="s">
        <v>26</v>
      </c>
      <c r="F199" s="92">
        <v>16</v>
      </c>
      <c r="G199" s="87" t="s">
        <v>88</v>
      </c>
      <c r="H199" s="93">
        <v>2.2000000000000002</v>
      </c>
      <c r="I199" s="4">
        <v>38</v>
      </c>
      <c r="J199" s="4">
        <v>38</v>
      </c>
      <c r="K199" s="103">
        <v>2.2000000000000002</v>
      </c>
      <c r="L199" s="93"/>
      <c r="M199" s="114" t="s">
        <v>115</v>
      </c>
      <c r="N199" s="88" t="s">
        <v>192</v>
      </c>
      <c r="O199" s="89">
        <v>43841</v>
      </c>
      <c r="P199" s="92" t="s">
        <v>64</v>
      </c>
      <c r="Q199" s="78" t="s">
        <v>104</v>
      </c>
      <c r="R199" s="163"/>
      <c r="S199" s="104"/>
      <c r="T199" s="22"/>
      <c r="U199" s="22"/>
      <c r="V199" s="91"/>
      <c r="X199"/>
      <c r="Y199" s="69"/>
      <c r="Z199"/>
      <c r="AA199" s="33"/>
    </row>
    <row r="200" spans="1:27" s="73" customFormat="1" hidden="1">
      <c r="A200" s="79">
        <v>170</v>
      </c>
      <c r="B200" s="92" t="s">
        <v>11</v>
      </c>
      <c r="C200" s="92">
        <v>2</v>
      </c>
      <c r="D200" s="92" t="s">
        <v>167</v>
      </c>
      <c r="E200" s="92" t="s">
        <v>26</v>
      </c>
      <c r="F200" s="92">
        <v>29</v>
      </c>
      <c r="G200" s="87" t="s">
        <v>78</v>
      </c>
      <c r="H200" s="93">
        <v>1.1000000000000001</v>
      </c>
      <c r="I200" s="4">
        <v>31</v>
      </c>
      <c r="J200" s="88" t="s">
        <v>96</v>
      </c>
      <c r="K200" s="103">
        <v>1.1000000000000001</v>
      </c>
      <c r="L200" s="93"/>
      <c r="M200" s="114" t="s">
        <v>115</v>
      </c>
      <c r="N200" s="88" t="s">
        <v>192</v>
      </c>
      <c r="O200" s="89">
        <v>43841</v>
      </c>
      <c r="P200" s="92" t="s">
        <v>64</v>
      </c>
      <c r="Q200" s="78" t="s">
        <v>58</v>
      </c>
      <c r="R200" s="163"/>
      <c r="S200" s="104"/>
      <c r="T200" s="22"/>
      <c r="U200" s="22"/>
      <c r="V200" s="91"/>
      <c r="X200"/>
      <c r="Y200" s="69"/>
      <c r="Z200"/>
      <c r="AA200" s="33"/>
    </row>
    <row r="201" spans="1:27" s="73" customFormat="1" hidden="1">
      <c r="A201" s="79">
        <v>171</v>
      </c>
      <c r="B201" s="92" t="s">
        <v>11</v>
      </c>
      <c r="C201" s="92">
        <v>2</v>
      </c>
      <c r="D201" s="92" t="s">
        <v>24</v>
      </c>
      <c r="E201" s="92" t="s">
        <v>26</v>
      </c>
      <c r="F201" s="92">
        <v>29</v>
      </c>
      <c r="G201" s="87" t="s">
        <v>79</v>
      </c>
      <c r="H201" s="93">
        <v>4.5</v>
      </c>
      <c r="I201" s="78">
        <v>221</v>
      </c>
      <c r="J201" s="4">
        <f>196+9</f>
        <v>205</v>
      </c>
      <c r="K201" s="103">
        <v>4.5</v>
      </c>
      <c r="L201" s="93"/>
      <c r="M201" s="114" t="s">
        <v>115</v>
      </c>
      <c r="N201" s="88" t="s">
        <v>192</v>
      </c>
      <c r="O201" s="89">
        <v>43841</v>
      </c>
      <c r="P201" s="92" t="s">
        <v>64</v>
      </c>
      <c r="Q201" s="78" t="s">
        <v>58</v>
      </c>
      <c r="R201" s="163"/>
      <c r="S201" s="104"/>
      <c r="T201" s="22"/>
      <c r="U201" s="22"/>
      <c r="V201" s="91"/>
      <c r="X201"/>
      <c r="Y201" s="69"/>
      <c r="Z201"/>
      <c r="AA201" s="33"/>
    </row>
    <row r="202" spans="1:27" s="73" customFormat="1" hidden="1">
      <c r="A202" s="79">
        <v>172</v>
      </c>
      <c r="B202" s="92" t="s">
        <v>11</v>
      </c>
      <c r="C202" s="92">
        <v>2</v>
      </c>
      <c r="D202" s="92" t="s">
        <v>24</v>
      </c>
      <c r="E202" s="92" t="s">
        <v>26</v>
      </c>
      <c r="F202" s="92">
        <v>3</v>
      </c>
      <c r="G202" s="87" t="s">
        <v>90</v>
      </c>
      <c r="H202" s="93">
        <v>1.1000000000000001</v>
      </c>
      <c r="I202" s="78">
        <v>10</v>
      </c>
      <c r="J202" s="4">
        <v>10</v>
      </c>
      <c r="K202" s="103">
        <v>1.1000000000000001</v>
      </c>
      <c r="L202" s="93"/>
      <c r="M202" s="114" t="s">
        <v>115</v>
      </c>
      <c r="N202" s="88" t="s">
        <v>192</v>
      </c>
      <c r="O202" s="89">
        <v>43841</v>
      </c>
      <c r="P202" s="92" t="s">
        <v>64</v>
      </c>
      <c r="Q202" s="78" t="s">
        <v>39</v>
      </c>
      <c r="R202" s="163"/>
      <c r="S202" s="104"/>
      <c r="T202" s="22"/>
      <c r="U202" s="22"/>
      <c r="V202" s="91"/>
      <c r="X202"/>
      <c r="Y202" s="69"/>
      <c r="Z202"/>
      <c r="AA202" s="33"/>
    </row>
    <row r="203" spans="1:27" s="73" customFormat="1" hidden="1">
      <c r="A203" s="79">
        <v>173</v>
      </c>
      <c r="B203" s="92" t="s">
        <v>11</v>
      </c>
      <c r="C203" s="92">
        <v>2</v>
      </c>
      <c r="D203" s="92" t="s">
        <v>24</v>
      </c>
      <c r="E203" s="92" t="s">
        <v>26</v>
      </c>
      <c r="F203" s="92">
        <v>31</v>
      </c>
      <c r="G203" s="87" t="s">
        <v>77</v>
      </c>
      <c r="H203" s="93">
        <v>2.2999999999999998</v>
      </c>
      <c r="I203" s="4">
        <v>49</v>
      </c>
      <c r="J203" s="4">
        <v>44</v>
      </c>
      <c r="K203" s="103">
        <v>2.2999999999999998</v>
      </c>
      <c r="L203" s="93"/>
      <c r="M203" s="114" t="s">
        <v>115</v>
      </c>
      <c r="N203" s="88" t="s">
        <v>192</v>
      </c>
      <c r="O203" s="89">
        <v>43841</v>
      </c>
      <c r="P203" s="92" t="s">
        <v>64</v>
      </c>
      <c r="Q203" s="78" t="s">
        <v>58</v>
      </c>
      <c r="R203" s="163"/>
      <c r="S203" s="104"/>
      <c r="T203" s="22"/>
      <c r="U203" s="22"/>
      <c r="V203" s="91"/>
      <c r="X203"/>
      <c r="Y203" s="69"/>
      <c r="Z203"/>
      <c r="AA203" s="33"/>
    </row>
    <row r="204" spans="1:27" s="73" customFormat="1" hidden="1">
      <c r="A204" s="79">
        <v>174</v>
      </c>
      <c r="B204" s="92" t="s">
        <v>11</v>
      </c>
      <c r="C204" s="92">
        <v>2</v>
      </c>
      <c r="D204" s="92" t="s">
        <v>24</v>
      </c>
      <c r="E204" s="92" t="s">
        <v>26</v>
      </c>
      <c r="F204" s="92">
        <v>31</v>
      </c>
      <c r="G204" s="87" t="s">
        <v>92</v>
      </c>
      <c r="H204" s="93">
        <v>0.7</v>
      </c>
      <c r="I204" s="4">
        <v>20</v>
      </c>
      <c r="J204" s="4">
        <v>18</v>
      </c>
      <c r="K204" s="103">
        <v>0.7</v>
      </c>
      <c r="L204" s="93"/>
      <c r="M204" s="114" t="s">
        <v>115</v>
      </c>
      <c r="N204" s="88" t="s">
        <v>192</v>
      </c>
      <c r="O204" s="89">
        <v>43841</v>
      </c>
      <c r="P204" s="92" t="s">
        <v>64</v>
      </c>
      <c r="Q204" s="78" t="s">
        <v>58</v>
      </c>
      <c r="R204" s="163"/>
      <c r="S204" s="104"/>
      <c r="T204" s="22"/>
      <c r="U204" s="22"/>
      <c r="V204" s="91"/>
      <c r="X204"/>
      <c r="Y204" s="69"/>
      <c r="Z204"/>
      <c r="AA204" s="33"/>
    </row>
    <row r="205" spans="1:27" s="73" customFormat="1" hidden="1">
      <c r="A205" s="79">
        <v>175</v>
      </c>
      <c r="B205" s="92" t="s">
        <v>11</v>
      </c>
      <c r="C205" s="92">
        <v>2</v>
      </c>
      <c r="D205" s="92" t="s">
        <v>22</v>
      </c>
      <c r="E205" s="92" t="s">
        <v>26</v>
      </c>
      <c r="F205" s="92">
        <v>10</v>
      </c>
      <c r="G205" s="87" t="s">
        <v>95</v>
      </c>
      <c r="H205" s="93">
        <v>0.5</v>
      </c>
      <c r="I205" s="4">
        <v>17</v>
      </c>
      <c r="J205" s="4">
        <v>15</v>
      </c>
      <c r="K205" s="103">
        <v>0.5</v>
      </c>
      <c r="L205" s="93"/>
      <c r="M205" s="114" t="s">
        <v>115</v>
      </c>
      <c r="N205" s="88" t="s">
        <v>193</v>
      </c>
      <c r="O205" s="89">
        <v>43841</v>
      </c>
      <c r="P205" s="92" t="s">
        <v>64</v>
      </c>
      <c r="Q205" s="78" t="s">
        <v>40</v>
      </c>
      <c r="R205" s="163">
        <v>83</v>
      </c>
      <c r="S205" s="104"/>
      <c r="T205" s="22"/>
      <c r="U205" s="22"/>
      <c r="V205" s="91"/>
      <c r="X205"/>
      <c r="Y205" s="69"/>
      <c r="Z205"/>
      <c r="AA205" s="33"/>
    </row>
    <row r="206" spans="1:27" s="73" customFormat="1" hidden="1">
      <c r="A206" s="79">
        <v>176</v>
      </c>
      <c r="B206" s="92" t="s">
        <v>11</v>
      </c>
      <c r="C206" s="92">
        <v>2</v>
      </c>
      <c r="D206" s="92" t="s">
        <v>22</v>
      </c>
      <c r="E206" s="92" t="s">
        <v>26</v>
      </c>
      <c r="F206" s="92">
        <v>28</v>
      </c>
      <c r="G206" s="87" t="s">
        <v>79</v>
      </c>
      <c r="H206" s="93">
        <v>8.9</v>
      </c>
      <c r="I206" s="4">
        <v>176</v>
      </c>
      <c r="J206" s="4">
        <f>148+5</f>
        <v>153</v>
      </c>
      <c r="K206" s="103">
        <v>8.9</v>
      </c>
      <c r="L206" s="93"/>
      <c r="M206" s="114" t="s">
        <v>115</v>
      </c>
      <c r="N206" s="88" t="s">
        <v>193</v>
      </c>
      <c r="O206" s="89">
        <v>43841</v>
      </c>
      <c r="P206" s="92" t="s">
        <v>64</v>
      </c>
      <c r="Q206" s="78" t="s">
        <v>60</v>
      </c>
      <c r="R206" s="163">
        <v>7138</v>
      </c>
      <c r="S206" s="104"/>
      <c r="T206" s="22"/>
      <c r="U206" s="22"/>
      <c r="V206" s="91"/>
      <c r="X206"/>
      <c r="Y206" s="69"/>
      <c r="Z206"/>
      <c r="AA206" s="33"/>
    </row>
    <row r="207" spans="1:27" s="73" customFormat="1" hidden="1">
      <c r="A207" s="79">
        <v>177</v>
      </c>
      <c r="B207" s="92" t="s">
        <v>11</v>
      </c>
      <c r="C207" s="92">
        <v>2</v>
      </c>
      <c r="D207" s="92" t="s">
        <v>22</v>
      </c>
      <c r="E207" s="92" t="s">
        <v>26</v>
      </c>
      <c r="F207" s="92">
        <v>29</v>
      </c>
      <c r="G207" s="87" t="s">
        <v>89</v>
      </c>
      <c r="H207" s="93">
        <v>1.4</v>
      </c>
      <c r="I207" s="4">
        <v>52</v>
      </c>
      <c r="J207" s="4">
        <f>45+1</f>
        <v>46</v>
      </c>
      <c r="K207" s="103">
        <v>1.4</v>
      </c>
      <c r="L207" s="93"/>
      <c r="M207" s="114" t="s">
        <v>115</v>
      </c>
      <c r="N207" s="88" t="s">
        <v>193</v>
      </c>
      <c r="O207" s="89">
        <v>43841</v>
      </c>
      <c r="P207" s="92" t="s">
        <v>64</v>
      </c>
      <c r="Q207" s="78" t="s">
        <v>60</v>
      </c>
      <c r="R207" s="163">
        <v>1038</v>
      </c>
      <c r="S207" s="104"/>
      <c r="T207" s="22"/>
      <c r="U207" s="22"/>
      <c r="V207" s="91"/>
      <c r="X207"/>
      <c r="Y207" s="69"/>
      <c r="Z207"/>
      <c r="AA207" s="33"/>
    </row>
    <row r="208" spans="1:27" s="73" customFormat="1" hidden="1">
      <c r="A208" s="79">
        <v>178</v>
      </c>
      <c r="B208" s="92" t="s">
        <v>11</v>
      </c>
      <c r="C208" s="92">
        <v>2</v>
      </c>
      <c r="D208" s="92" t="s">
        <v>22</v>
      </c>
      <c r="E208" s="92" t="s">
        <v>26</v>
      </c>
      <c r="F208" s="92">
        <v>29</v>
      </c>
      <c r="G208" s="87" t="s">
        <v>90</v>
      </c>
      <c r="H208" s="93">
        <v>0.4</v>
      </c>
      <c r="I208" s="4">
        <v>20</v>
      </c>
      <c r="J208" s="4">
        <f>17+1</f>
        <v>18</v>
      </c>
      <c r="K208" s="103">
        <v>0.4</v>
      </c>
      <c r="L208" s="93"/>
      <c r="M208" s="114" t="s">
        <v>115</v>
      </c>
      <c r="N208" s="88" t="s">
        <v>193</v>
      </c>
      <c r="O208" s="89">
        <v>43841</v>
      </c>
      <c r="P208" s="92" t="s">
        <v>64</v>
      </c>
      <c r="Q208" s="78" t="s">
        <v>60</v>
      </c>
      <c r="R208" s="163">
        <v>549</v>
      </c>
      <c r="S208" s="104"/>
      <c r="T208" s="22"/>
      <c r="U208" s="22"/>
      <c r="V208" s="91"/>
      <c r="X208"/>
      <c r="Y208" s="69"/>
      <c r="Z208"/>
      <c r="AA208" s="33"/>
    </row>
    <row r="209" spans="1:27" s="73" customFormat="1" hidden="1">
      <c r="A209" s="79">
        <v>179</v>
      </c>
      <c r="B209" s="92" t="s">
        <v>11</v>
      </c>
      <c r="C209" s="92">
        <v>2</v>
      </c>
      <c r="D209" s="92" t="s">
        <v>22</v>
      </c>
      <c r="E209" s="92" t="s">
        <v>26</v>
      </c>
      <c r="F209" s="92">
        <v>9</v>
      </c>
      <c r="G209" s="87" t="s">
        <v>88</v>
      </c>
      <c r="H209" s="93">
        <v>2.2999999999999998</v>
      </c>
      <c r="I209" s="4">
        <v>61</v>
      </c>
      <c r="J209" s="4">
        <f>42+2</f>
        <v>44</v>
      </c>
      <c r="K209" s="93">
        <v>2.2999999999999998</v>
      </c>
      <c r="L209" s="4"/>
      <c r="M209" s="114" t="s">
        <v>115</v>
      </c>
      <c r="N209" s="88" t="s">
        <v>193</v>
      </c>
      <c r="O209" s="89">
        <v>43841</v>
      </c>
      <c r="P209" s="92" t="s">
        <v>64</v>
      </c>
      <c r="Q209" s="78" t="s">
        <v>40</v>
      </c>
      <c r="R209" s="163">
        <v>453</v>
      </c>
      <c r="S209" s="104"/>
      <c r="T209" s="22"/>
      <c r="U209" s="22"/>
      <c r="V209" s="91" t="s">
        <v>53</v>
      </c>
      <c r="X209"/>
      <c r="Y209" s="69"/>
      <c r="Z209"/>
      <c r="AA209" s="33"/>
    </row>
    <row r="210" spans="1:27" s="73" customFormat="1" ht="30" hidden="1">
      <c r="A210" s="79">
        <v>180</v>
      </c>
      <c r="B210" s="92" t="s">
        <v>11</v>
      </c>
      <c r="C210" s="92">
        <v>2</v>
      </c>
      <c r="D210" s="92" t="s">
        <v>32</v>
      </c>
      <c r="E210" s="92" t="s">
        <v>26</v>
      </c>
      <c r="F210" s="92">
        <v>16</v>
      </c>
      <c r="G210" s="87" t="s">
        <v>71</v>
      </c>
      <c r="H210" s="93">
        <v>5.0999999999999996</v>
      </c>
      <c r="I210" s="4">
        <v>100</v>
      </c>
      <c r="J210" s="4">
        <f>87+4</f>
        <v>91</v>
      </c>
      <c r="K210" s="93">
        <v>5.0999999999999996</v>
      </c>
      <c r="L210" s="4"/>
      <c r="M210" s="114" t="s">
        <v>115</v>
      </c>
      <c r="N210" s="88" t="s">
        <v>194</v>
      </c>
      <c r="O210" s="89">
        <v>43834</v>
      </c>
      <c r="P210" s="92" t="s">
        <v>64</v>
      </c>
      <c r="Q210" s="78" t="s">
        <v>104</v>
      </c>
      <c r="R210" s="163">
        <v>4057</v>
      </c>
      <c r="S210" s="104"/>
      <c r="T210" s="22"/>
      <c r="U210" s="22"/>
      <c r="V210" s="91" t="s">
        <v>53</v>
      </c>
      <c r="X210"/>
      <c r="Y210" s="69"/>
      <c r="Z210"/>
      <c r="AA210" s="33"/>
    </row>
    <row r="211" spans="1:27" s="73" customFormat="1" ht="30" hidden="1">
      <c r="A211" s="79">
        <v>181</v>
      </c>
      <c r="B211" s="92" t="s">
        <v>11</v>
      </c>
      <c r="C211" s="92">
        <v>2</v>
      </c>
      <c r="D211" s="92" t="s">
        <v>32</v>
      </c>
      <c r="E211" s="92" t="s">
        <v>26</v>
      </c>
      <c r="F211" s="92">
        <v>17</v>
      </c>
      <c r="G211" s="87" t="s">
        <v>74</v>
      </c>
      <c r="H211" s="93">
        <v>0.4</v>
      </c>
      <c r="I211" s="4">
        <v>23</v>
      </c>
      <c r="J211" s="4">
        <f>21+1</f>
        <v>22</v>
      </c>
      <c r="K211" s="93">
        <v>0.4</v>
      </c>
      <c r="L211" s="4"/>
      <c r="M211" s="114" t="s">
        <v>115</v>
      </c>
      <c r="N211" s="88" t="s">
        <v>194</v>
      </c>
      <c r="O211" s="89">
        <v>43834</v>
      </c>
      <c r="P211" s="92" t="s">
        <v>64</v>
      </c>
      <c r="Q211" s="78" t="s">
        <v>104</v>
      </c>
      <c r="R211" s="163">
        <v>124</v>
      </c>
      <c r="S211" s="104"/>
      <c r="T211" s="22"/>
      <c r="U211" s="22"/>
      <c r="V211" s="91" t="s">
        <v>54</v>
      </c>
      <c r="X211"/>
      <c r="Y211" s="69"/>
      <c r="Z211"/>
      <c r="AA211" s="33"/>
    </row>
    <row r="212" spans="1:27" s="73" customFormat="1" ht="30" hidden="1">
      <c r="A212" s="79">
        <v>182</v>
      </c>
      <c r="B212" s="92" t="s">
        <v>11</v>
      </c>
      <c r="C212" s="92">
        <v>2</v>
      </c>
      <c r="D212" s="92" t="s">
        <v>32</v>
      </c>
      <c r="E212" s="92" t="s">
        <v>26</v>
      </c>
      <c r="F212" s="92">
        <v>21</v>
      </c>
      <c r="G212" s="87" t="s">
        <v>89</v>
      </c>
      <c r="H212" s="93">
        <v>4.9000000000000004</v>
      </c>
      <c r="I212" s="4">
        <v>74</v>
      </c>
      <c r="J212" s="4">
        <v>56</v>
      </c>
      <c r="K212" s="93">
        <v>4.9000000000000004</v>
      </c>
      <c r="L212" s="4"/>
      <c r="M212" s="114" t="s">
        <v>115</v>
      </c>
      <c r="N212" s="88" t="s">
        <v>194</v>
      </c>
      <c r="O212" s="89">
        <v>43834</v>
      </c>
      <c r="P212" s="92" t="s">
        <v>64</v>
      </c>
      <c r="Q212" s="78" t="s">
        <v>107</v>
      </c>
      <c r="R212" s="163">
        <v>339</v>
      </c>
      <c r="S212" s="104"/>
      <c r="T212" s="22"/>
      <c r="U212" s="22"/>
      <c r="V212" s="91" t="s">
        <v>54</v>
      </c>
      <c r="X212"/>
      <c r="Y212" s="69"/>
      <c r="Z212"/>
      <c r="AA212" s="33"/>
    </row>
    <row r="213" spans="1:27" s="73" customFormat="1" ht="30" hidden="1">
      <c r="A213" s="79">
        <v>183</v>
      </c>
      <c r="B213" s="92" t="s">
        <v>11</v>
      </c>
      <c r="C213" s="92">
        <v>2</v>
      </c>
      <c r="D213" s="92" t="s">
        <v>32</v>
      </c>
      <c r="E213" s="92" t="s">
        <v>26</v>
      </c>
      <c r="F213" s="92">
        <v>21</v>
      </c>
      <c r="G213" s="87" t="s">
        <v>74</v>
      </c>
      <c r="H213" s="93">
        <v>0.9</v>
      </c>
      <c r="I213" s="4">
        <v>24</v>
      </c>
      <c r="J213" s="4">
        <v>22</v>
      </c>
      <c r="K213" s="93">
        <v>0.9</v>
      </c>
      <c r="L213" s="4"/>
      <c r="M213" s="114" t="s">
        <v>115</v>
      </c>
      <c r="N213" s="88" t="s">
        <v>194</v>
      </c>
      <c r="O213" s="89">
        <v>43834</v>
      </c>
      <c r="P213" s="92" t="s">
        <v>64</v>
      </c>
      <c r="Q213" s="78" t="s">
        <v>107</v>
      </c>
      <c r="R213" s="163">
        <v>127</v>
      </c>
      <c r="S213" s="104"/>
      <c r="T213" s="22"/>
      <c r="U213" s="22"/>
      <c r="V213" s="91" t="s">
        <v>54</v>
      </c>
      <c r="X213"/>
      <c r="Y213" s="69"/>
      <c r="Z213"/>
      <c r="AA213" s="33"/>
    </row>
    <row r="214" spans="1:27" s="73" customFormat="1" ht="30" hidden="1">
      <c r="A214" s="79">
        <v>184</v>
      </c>
      <c r="B214" s="92" t="s">
        <v>11</v>
      </c>
      <c r="C214" s="92">
        <v>2</v>
      </c>
      <c r="D214" s="92" t="s">
        <v>32</v>
      </c>
      <c r="E214" s="92" t="s">
        <v>26</v>
      </c>
      <c r="F214" s="92">
        <v>21</v>
      </c>
      <c r="G214" s="87" t="s">
        <v>68</v>
      </c>
      <c r="H214" s="93">
        <v>3.3</v>
      </c>
      <c r="I214" s="4">
        <v>89</v>
      </c>
      <c r="J214" s="4">
        <f>82+1</f>
        <v>83</v>
      </c>
      <c r="K214" s="93">
        <v>3.3</v>
      </c>
      <c r="L214" s="89"/>
      <c r="M214" s="114" t="s">
        <v>115</v>
      </c>
      <c r="N214" s="88" t="s">
        <v>194</v>
      </c>
      <c r="O214" s="89">
        <v>43834</v>
      </c>
      <c r="P214" s="92" t="s">
        <v>64</v>
      </c>
      <c r="Q214" s="78" t="s">
        <v>107</v>
      </c>
      <c r="R214" s="163">
        <v>1314</v>
      </c>
      <c r="S214" s="104"/>
      <c r="T214" s="22"/>
      <c r="U214" s="22"/>
      <c r="V214" s="91" t="s">
        <v>54</v>
      </c>
      <c r="X214"/>
      <c r="Y214" s="69"/>
      <c r="Z214"/>
      <c r="AA214" s="33"/>
    </row>
    <row r="215" spans="1:27" s="73" customFormat="1" ht="30" hidden="1">
      <c r="A215" s="79">
        <v>185</v>
      </c>
      <c r="B215" s="92" t="s">
        <v>11</v>
      </c>
      <c r="C215" s="92">
        <v>2</v>
      </c>
      <c r="D215" s="92" t="s">
        <v>32</v>
      </c>
      <c r="E215" s="92" t="s">
        <v>28</v>
      </c>
      <c r="F215" s="92">
        <v>28</v>
      </c>
      <c r="G215" s="87" t="s">
        <v>77</v>
      </c>
      <c r="H215" s="93">
        <v>4.4000000000000004</v>
      </c>
      <c r="I215" s="4">
        <v>92</v>
      </c>
      <c r="J215" s="4">
        <v>79</v>
      </c>
      <c r="K215" s="93">
        <v>4.4000000000000004</v>
      </c>
      <c r="L215" s="4"/>
      <c r="M215" s="114" t="s">
        <v>115</v>
      </c>
      <c r="N215" s="88" t="s">
        <v>194</v>
      </c>
      <c r="O215" s="89">
        <v>43834</v>
      </c>
      <c r="P215" s="92" t="s">
        <v>64</v>
      </c>
      <c r="Q215" s="78" t="s">
        <v>60</v>
      </c>
      <c r="R215" s="163">
        <v>355</v>
      </c>
      <c r="S215" s="104"/>
      <c r="T215" s="22"/>
      <c r="U215" s="22"/>
      <c r="V215" s="91" t="s">
        <v>54</v>
      </c>
      <c r="X215"/>
      <c r="Y215" s="69"/>
      <c r="Z215"/>
      <c r="AA215" s="33"/>
    </row>
    <row r="216" spans="1:27" s="73" customFormat="1" ht="30" hidden="1">
      <c r="A216" s="79">
        <v>186</v>
      </c>
      <c r="B216" s="92" t="s">
        <v>11</v>
      </c>
      <c r="C216" s="92">
        <v>2</v>
      </c>
      <c r="D216" s="92" t="s">
        <v>32</v>
      </c>
      <c r="E216" s="92" t="s">
        <v>28</v>
      </c>
      <c r="F216" s="92">
        <v>3</v>
      </c>
      <c r="G216" s="87" t="s">
        <v>77</v>
      </c>
      <c r="H216" s="93">
        <v>1.5</v>
      </c>
      <c r="I216" s="4">
        <v>67</v>
      </c>
      <c r="J216" s="4">
        <f>52+1</f>
        <v>53</v>
      </c>
      <c r="K216" s="93">
        <v>1.5</v>
      </c>
      <c r="L216" s="4"/>
      <c r="M216" s="114" t="s">
        <v>115</v>
      </c>
      <c r="N216" s="88" t="s">
        <v>194</v>
      </c>
      <c r="O216" s="89">
        <v>43834</v>
      </c>
      <c r="P216" s="92" t="s">
        <v>64</v>
      </c>
      <c r="Q216" s="78" t="s">
        <v>39</v>
      </c>
      <c r="R216" s="163">
        <v>142</v>
      </c>
      <c r="S216" s="104"/>
      <c r="T216" s="22"/>
      <c r="U216" s="22"/>
      <c r="V216" s="91" t="s">
        <v>54</v>
      </c>
      <c r="X216"/>
      <c r="Y216" s="69"/>
      <c r="Z216"/>
      <c r="AA216" s="33"/>
    </row>
    <row r="217" spans="1:27" s="73" customFormat="1" ht="30" hidden="1">
      <c r="A217" s="79">
        <v>187</v>
      </c>
      <c r="B217" s="92" t="s">
        <v>11</v>
      </c>
      <c r="C217" s="92">
        <v>2</v>
      </c>
      <c r="D217" s="92" t="s">
        <v>32</v>
      </c>
      <c r="E217" s="92" t="s">
        <v>28</v>
      </c>
      <c r="F217" s="92">
        <v>4</v>
      </c>
      <c r="G217" s="87" t="s">
        <v>85</v>
      </c>
      <c r="H217" s="93">
        <v>8.5</v>
      </c>
      <c r="I217" s="4">
        <v>166</v>
      </c>
      <c r="J217" s="4">
        <f>134+4</f>
        <v>138</v>
      </c>
      <c r="K217" s="93">
        <v>8.5</v>
      </c>
      <c r="L217" s="4"/>
      <c r="M217" s="114" t="s">
        <v>115</v>
      </c>
      <c r="N217" s="88" t="s">
        <v>194</v>
      </c>
      <c r="O217" s="89">
        <v>43834</v>
      </c>
      <c r="P217" s="92" t="s">
        <v>64</v>
      </c>
      <c r="Q217" s="78" t="s">
        <v>39</v>
      </c>
      <c r="R217" s="163">
        <v>2396</v>
      </c>
      <c r="S217" s="104"/>
      <c r="T217" s="22"/>
      <c r="U217" s="22"/>
      <c r="V217" s="91" t="s">
        <v>34</v>
      </c>
      <c r="X217"/>
      <c r="Y217" s="69"/>
      <c r="Z217"/>
      <c r="AA217" s="33"/>
    </row>
    <row r="218" spans="1:27" s="73" customFormat="1" ht="30" hidden="1">
      <c r="A218" s="79">
        <v>188</v>
      </c>
      <c r="B218" s="92" t="s">
        <v>11</v>
      </c>
      <c r="C218" s="92">
        <v>2</v>
      </c>
      <c r="D218" s="92" t="s">
        <v>32</v>
      </c>
      <c r="E218" s="92" t="s">
        <v>28</v>
      </c>
      <c r="F218" s="92">
        <v>6</v>
      </c>
      <c r="G218" s="87" t="s">
        <v>74</v>
      </c>
      <c r="H218" s="93">
        <v>12</v>
      </c>
      <c r="I218" s="4">
        <v>75</v>
      </c>
      <c r="J218" s="4">
        <v>66</v>
      </c>
      <c r="K218" s="93">
        <v>12</v>
      </c>
      <c r="L218" s="4"/>
      <c r="M218" s="114" t="s">
        <v>115</v>
      </c>
      <c r="N218" s="88" t="s">
        <v>194</v>
      </c>
      <c r="O218" s="89">
        <v>43834</v>
      </c>
      <c r="P218" s="92" t="s">
        <v>64</v>
      </c>
      <c r="Q218" s="78" t="s">
        <v>39</v>
      </c>
      <c r="R218" s="163">
        <v>729</v>
      </c>
      <c r="S218" s="104"/>
      <c r="T218" s="22"/>
      <c r="U218" s="22"/>
      <c r="V218" s="91" t="s">
        <v>34</v>
      </c>
      <c r="X218"/>
      <c r="Y218" s="69"/>
      <c r="Z218"/>
      <c r="AA218" s="33"/>
    </row>
    <row r="219" spans="1:27" s="73" customFormat="1" ht="30" hidden="1">
      <c r="A219" s="79">
        <v>189</v>
      </c>
      <c r="B219" s="92" t="s">
        <v>11</v>
      </c>
      <c r="C219" s="92">
        <v>2</v>
      </c>
      <c r="D219" s="92" t="s">
        <v>32</v>
      </c>
      <c r="E219" s="92" t="s">
        <v>26</v>
      </c>
      <c r="F219" s="92">
        <v>21</v>
      </c>
      <c r="G219" s="87" t="s">
        <v>79</v>
      </c>
      <c r="H219" s="93">
        <v>4.5</v>
      </c>
      <c r="I219" s="4">
        <v>119</v>
      </c>
      <c r="J219" s="4">
        <f>107+1</f>
        <v>108</v>
      </c>
      <c r="K219" s="93">
        <v>4.5</v>
      </c>
      <c r="L219" s="4"/>
      <c r="M219" s="114" t="s">
        <v>115</v>
      </c>
      <c r="N219" s="88" t="s">
        <v>194</v>
      </c>
      <c r="O219" s="89">
        <v>43834</v>
      </c>
      <c r="P219" s="92" t="s">
        <v>64</v>
      </c>
      <c r="Q219" s="78" t="s">
        <v>107</v>
      </c>
      <c r="R219" s="163">
        <v>616</v>
      </c>
      <c r="S219" s="104"/>
      <c r="T219" s="22"/>
      <c r="U219" s="22"/>
      <c r="V219" s="91" t="s">
        <v>34</v>
      </c>
      <c r="X219"/>
      <c r="Y219" s="69"/>
      <c r="Z219"/>
      <c r="AA219" s="33"/>
    </row>
    <row r="220" spans="1:27" s="73" customFormat="1" ht="22.5" hidden="1" customHeight="1">
      <c r="A220" s="79">
        <v>190</v>
      </c>
      <c r="B220" s="92" t="s">
        <v>11</v>
      </c>
      <c r="C220" s="92">
        <v>2</v>
      </c>
      <c r="D220" s="92" t="s">
        <v>125</v>
      </c>
      <c r="E220" s="92" t="s">
        <v>128</v>
      </c>
      <c r="F220" s="92">
        <v>11</v>
      </c>
      <c r="G220" s="87" t="s">
        <v>279</v>
      </c>
      <c r="H220" s="93">
        <v>0.1</v>
      </c>
      <c r="I220" s="4">
        <v>2</v>
      </c>
      <c r="J220" s="4">
        <v>2</v>
      </c>
      <c r="K220" s="4">
        <v>0.1</v>
      </c>
      <c r="L220" s="93"/>
      <c r="M220" s="114" t="s">
        <v>115</v>
      </c>
      <c r="N220" s="88" t="s">
        <v>280</v>
      </c>
      <c r="O220" s="89">
        <v>43865</v>
      </c>
      <c r="P220" s="92" t="s">
        <v>64</v>
      </c>
      <c r="Q220" s="78" t="s">
        <v>40</v>
      </c>
      <c r="R220" s="163">
        <v>9</v>
      </c>
      <c r="S220" s="104"/>
      <c r="T220" s="22"/>
      <c r="U220" s="22"/>
      <c r="V220" s="91"/>
      <c r="X220"/>
      <c r="Y220" s="69"/>
      <c r="Z220"/>
      <c r="AA220" s="33"/>
    </row>
    <row r="221" spans="1:27" s="73" customFormat="1" ht="22.5" hidden="1" customHeight="1">
      <c r="A221" s="79">
        <v>191</v>
      </c>
      <c r="B221" s="92" t="s">
        <v>11</v>
      </c>
      <c r="C221" s="92">
        <v>2</v>
      </c>
      <c r="D221" s="92" t="s">
        <v>304</v>
      </c>
      <c r="E221" s="92" t="s">
        <v>128</v>
      </c>
      <c r="F221" s="92">
        <v>24</v>
      </c>
      <c r="G221" s="87" t="s">
        <v>79</v>
      </c>
      <c r="H221" s="93">
        <v>0.1</v>
      </c>
      <c r="I221" s="4">
        <v>3</v>
      </c>
      <c r="J221" s="4">
        <v>3</v>
      </c>
      <c r="K221" s="103">
        <v>0.1</v>
      </c>
      <c r="L221" s="93"/>
      <c r="M221" s="114" t="s">
        <v>115</v>
      </c>
      <c r="N221" s="88" t="s">
        <v>305</v>
      </c>
      <c r="O221" s="89">
        <v>43903</v>
      </c>
      <c r="P221" s="92" t="s">
        <v>64</v>
      </c>
      <c r="Q221" s="78" t="s">
        <v>57</v>
      </c>
      <c r="R221" s="163"/>
      <c r="S221" s="104"/>
      <c r="T221" s="22"/>
      <c r="U221" s="22"/>
      <c r="V221" s="91"/>
      <c r="X221"/>
      <c r="Y221" s="69"/>
      <c r="Z221"/>
      <c r="AA221" s="33"/>
    </row>
    <row r="222" spans="1:27" s="73" customFormat="1" ht="22.5" customHeight="1">
      <c r="A222" s="79"/>
      <c r="B222" s="446" t="s">
        <v>11</v>
      </c>
      <c r="C222" s="446"/>
      <c r="D222" s="443" t="s">
        <v>286</v>
      </c>
      <c r="E222" s="92"/>
      <c r="F222" s="92"/>
      <c r="G222" s="87"/>
      <c r="H222" s="93"/>
      <c r="I222" s="4"/>
      <c r="J222" s="163">
        <f>J205+J209</f>
        <v>59</v>
      </c>
      <c r="K222" s="103"/>
      <c r="L222" s="93"/>
      <c r="M222" s="114"/>
      <c r="N222" s="88"/>
      <c r="O222" s="89"/>
      <c r="P222" s="92" t="s">
        <v>64</v>
      </c>
      <c r="Q222" s="78" t="s">
        <v>40</v>
      </c>
      <c r="R222" s="163">
        <f>R205+R209</f>
        <v>536</v>
      </c>
      <c r="S222" s="104"/>
      <c r="T222" s="22"/>
      <c r="U222" s="22"/>
      <c r="V222" s="91"/>
      <c r="X222"/>
      <c r="Y222" s="69"/>
      <c r="Z222"/>
      <c r="AA222" s="33"/>
    </row>
    <row r="223" spans="1:27" s="73" customFormat="1" ht="21" customHeight="1">
      <c r="A223" s="79"/>
      <c r="B223" s="446"/>
      <c r="C223" s="446"/>
      <c r="D223" s="444"/>
      <c r="E223" s="92"/>
      <c r="F223" s="92"/>
      <c r="G223" s="87"/>
      <c r="H223" s="93"/>
      <c r="I223" s="4"/>
      <c r="J223" s="163">
        <f>J206+J207+J208</f>
        <v>217</v>
      </c>
      <c r="K223" s="103"/>
      <c r="L223" s="93"/>
      <c r="M223" s="114"/>
      <c r="N223" s="88"/>
      <c r="O223" s="89"/>
      <c r="P223" s="92" t="s">
        <v>64</v>
      </c>
      <c r="Q223" s="78" t="s">
        <v>60</v>
      </c>
      <c r="R223" s="163">
        <f>R206+R207+R208</f>
        <v>8725</v>
      </c>
      <c r="S223" s="104"/>
      <c r="T223" s="22"/>
      <c r="U223" s="22"/>
      <c r="V223" s="91"/>
      <c r="X223"/>
      <c r="Y223" s="69"/>
      <c r="Z223"/>
      <c r="AA223" s="33"/>
    </row>
    <row r="224" spans="1:27" s="73" customFormat="1" ht="22.5" customHeight="1">
      <c r="A224" s="79"/>
      <c r="B224" s="446"/>
      <c r="C224" s="446"/>
      <c r="D224" s="443" t="s">
        <v>284</v>
      </c>
      <c r="E224" s="92"/>
      <c r="F224" s="92"/>
      <c r="G224" s="87"/>
      <c r="H224" s="93"/>
      <c r="I224" s="4"/>
      <c r="J224" s="163">
        <f>J210+J211</f>
        <v>113</v>
      </c>
      <c r="K224" s="103"/>
      <c r="L224" s="93"/>
      <c r="M224" s="114"/>
      <c r="N224" s="88"/>
      <c r="O224" s="89"/>
      <c r="P224" s="92" t="s">
        <v>64</v>
      </c>
      <c r="Q224" s="78" t="s">
        <v>104</v>
      </c>
      <c r="R224" s="163">
        <f>R210+R211</f>
        <v>4181</v>
      </c>
      <c r="S224" s="104"/>
      <c r="T224" s="22"/>
      <c r="U224" s="22"/>
      <c r="V224" s="91"/>
      <c r="X224"/>
      <c r="Y224" s="69"/>
      <c r="Z224"/>
      <c r="AA224" s="33"/>
    </row>
    <row r="225" spans="1:27" s="73" customFormat="1" ht="22.5" customHeight="1">
      <c r="A225" s="79"/>
      <c r="B225" s="446"/>
      <c r="C225" s="446"/>
      <c r="D225" s="445"/>
      <c r="E225" s="92"/>
      <c r="F225" s="92"/>
      <c r="G225" s="87"/>
      <c r="H225" s="93"/>
      <c r="I225" s="4"/>
      <c r="J225" s="163">
        <f>J212+J213+J214+J219</f>
        <v>269</v>
      </c>
      <c r="K225" s="103"/>
      <c r="L225" s="93"/>
      <c r="M225" s="114"/>
      <c r="N225" s="88"/>
      <c r="O225" s="89"/>
      <c r="P225" s="92" t="s">
        <v>64</v>
      </c>
      <c r="Q225" s="78" t="s">
        <v>107</v>
      </c>
      <c r="R225" s="163">
        <f>R212+R213+R214+R219</f>
        <v>2396</v>
      </c>
      <c r="S225" s="104"/>
      <c r="T225" s="22"/>
      <c r="U225" s="22"/>
      <c r="V225" s="91"/>
      <c r="X225"/>
      <c r="Y225" s="69"/>
      <c r="Z225"/>
      <c r="AA225" s="33"/>
    </row>
    <row r="226" spans="1:27" s="73" customFormat="1" ht="21" customHeight="1">
      <c r="A226" s="79"/>
      <c r="B226" s="446"/>
      <c r="C226" s="446"/>
      <c r="D226" s="445"/>
      <c r="E226" s="92"/>
      <c r="F226" s="92"/>
      <c r="G226" s="87"/>
      <c r="H226" s="93"/>
      <c r="I226" s="4"/>
      <c r="J226" s="163">
        <f>J215</f>
        <v>79</v>
      </c>
      <c r="K226" s="103"/>
      <c r="L226" s="93"/>
      <c r="M226" s="114"/>
      <c r="N226" s="88"/>
      <c r="O226" s="89"/>
      <c r="P226" s="92" t="s">
        <v>64</v>
      </c>
      <c r="Q226" s="78" t="s">
        <v>60</v>
      </c>
      <c r="R226" s="163">
        <f>R215</f>
        <v>355</v>
      </c>
      <c r="S226" s="104"/>
      <c r="T226" s="22"/>
      <c r="U226" s="22"/>
      <c r="V226" s="91"/>
      <c r="X226"/>
      <c r="Y226" s="69"/>
      <c r="Z226"/>
      <c r="AA226" s="33"/>
    </row>
    <row r="227" spans="1:27" s="73" customFormat="1" ht="21.75" customHeight="1">
      <c r="A227" s="79"/>
      <c r="B227" s="446"/>
      <c r="C227" s="446"/>
      <c r="D227" s="444"/>
      <c r="E227" s="92"/>
      <c r="F227" s="92"/>
      <c r="G227" s="87"/>
      <c r="H227" s="93"/>
      <c r="I227" s="4"/>
      <c r="J227" s="163">
        <f>J216+J217+J218</f>
        <v>257</v>
      </c>
      <c r="K227" s="103"/>
      <c r="L227" s="93"/>
      <c r="M227" s="114"/>
      <c r="N227" s="88"/>
      <c r="O227" s="89"/>
      <c r="P227" s="92" t="s">
        <v>64</v>
      </c>
      <c r="Q227" s="78" t="s">
        <v>39</v>
      </c>
      <c r="R227" s="163">
        <f>R216+R217+R218</f>
        <v>3267</v>
      </c>
      <c r="S227" s="104"/>
      <c r="T227" s="22"/>
      <c r="U227" s="22"/>
      <c r="V227" s="91"/>
      <c r="X227"/>
      <c r="Y227" s="69"/>
      <c r="Z227"/>
      <c r="AA227" s="33"/>
    </row>
    <row r="228" spans="1:27" s="73" customFormat="1" ht="20.25" customHeight="1">
      <c r="A228" s="79"/>
      <c r="B228" s="446"/>
      <c r="C228" s="446"/>
      <c r="D228" s="92" t="s">
        <v>317</v>
      </c>
      <c r="E228" s="92"/>
      <c r="F228" s="92"/>
      <c r="G228" s="87"/>
      <c r="H228" s="93"/>
      <c r="I228" s="4"/>
      <c r="J228" s="163">
        <f>J220</f>
        <v>2</v>
      </c>
      <c r="K228" s="103"/>
      <c r="L228" s="93"/>
      <c r="M228" s="114"/>
      <c r="N228" s="88"/>
      <c r="O228" s="89"/>
      <c r="P228" s="92" t="s">
        <v>64</v>
      </c>
      <c r="Q228" s="78" t="s">
        <v>40</v>
      </c>
      <c r="R228" s="163">
        <f>R220</f>
        <v>9</v>
      </c>
      <c r="S228" s="104"/>
      <c r="T228" s="22"/>
      <c r="U228" s="22"/>
      <c r="V228" s="91"/>
      <c r="X228"/>
      <c r="Y228" s="69"/>
      <c r="Z228"/>
      <c r="AA228" s="33"/>
    </row>
    <row r="229" spans="1:27" s="73" customFormat="1" ht="30" hidden="1">
      <c r="A229" s="79">
        <v>192</v>
      </c>
      <c r="B229" s="92" t="s">
        <v>21</v>
      </c>
      <c r="C229" s="92">
        <v>2</v>
      </c>
      <c r="D229" s="92" t="s">
        <v>31</v>
      </c>
      <c r="E229" s="92" t="s">
        <v>28</v>
      </c>
      <c r="F229" s="92">
        <v>101</v>
      </c>
      <c r="G229" s="87" t="s">
        <v>71</v>
      </c>
      <c r="H229" s="93">
        <v>0.4</v>
      </c>
      <c r="I229" s="4">
        <v>3</v>
      </c>
      <c r="J229" s="4"/>
      <c r="K229" s="93">
        <v>0.4</v>
      </c>
      <c r="L229" s="4"/>
      <c r="M229" s="114" t="s">
        <v>115</v>
      </c>
      <c r="N229" s="88" t="s">
        <v>198</v>
      </c>
      <c r="O229" s="89">
        <v>43834</v>
      </c>
      <c r="P229" s="92" t="s">
        <v>64</v>
      </c>
      <c r="Q229" s="78" t="s">
        <v>43</v>
      </c>
      <c r="R229" s="163"/>
      <c r="S229" s="104"/>
      <c r="T229" s="22"/>
      <c r="U229" s="22"/>
      <c r="V229" s="91"/>
      <c r="X229"/>
      <c r="Y229" s="69"/>
      <c r="Z229"/>
      <c r="AA229" s="33"/>
    </row>
    <row r="230" spans="1:27" s="73" customFormat="1" ht="30" hidden="1">
      <c r="A230" s="79">
        <v>193</v>
      </c>
      <c r="B230" s="92" t="s">
        <v>21</v>
      </c>
      <c r="C230" s="92">
        <v>2</v>
      </c>
      <c r="D230" s="92" t="s">
        <v>31</v>
      </c>
      <c r="E230" s="92" t="s">
        <v>26</v>
      </c>
      <c r="F230" s="92">
        <v>101</v>
      </c>
      <c r="G230" s="87" t="s">
        <v>73</v>
      </c>
      <c r="H230" s="93">
        <v>1.6</v>
      </c>
      <c r="I230" s="4">
        <v>4</v>
      </c>
      <c r="J230" s="4"/>
      <c r="K230" s="93">
        <v>1.6</v>
      </c>
      <c r="L230" s="4"/>
      <c r="M230" s="114" t="s">
        <v>115</v>
      </c>
      <c r="N230" s="88" t="s">
        <v>198</v>
      </c>
      <c r="O230" s="89">
        <v>43834</v>
      </c>
      <c r="P230" s="92" t="s">
        <v>64</v>
      </c>
      <c r="Q230" s="78" t="s">
        <v>43</v>
      </c>
      <c r="R230" s="163"/>
      <c r="S230" s="104"/>
      <c r="T230" s="22"/>
      <c r="U230" s="22"/>
      <c r="V230" s="91"/>
      <c r="X230"/>
      <c r="Y230" s="69"/>
      <c r="Z230"/>
      <c r="AA230" s="33"/>
    </row>
    <row r="231" spans="1:27" s="73" customFormat="1" ht="30" hidden="1">
      <c r="A231" s="79">
        <v>194</v>
      </c>
      <c r="B231" s="92" t="s">
        <v>21</v>
      </c>
      <c r="C231" s="92">
        <v>2</v>
      </c>
      <c r="D231" s="92" t="s">
        <v>31</v>
      </c>
      <c r="E231" s="92" t="s">
        <v>26</v>
      </c>
      <c r="F231" s="92">
        <v>105</v>
      </c>
      <c r="G231" s="87" t="s">
        <v>82</v>
      </c>
      <c r="H231" s="93">
        <v>2</v>
      </c>
      <c r="I231" s="4">
        <v>12</v>
      </c>
      <c r="J231" s="4"/>
      <c r="K231" s="93">
        <v>2</v>
      </c>
      <c r="L231" s="4"/>
      <c r="M231" s="114" t="s">
        <v>115</v>
      </c>
      <c r="N231" s="88" t="s">
        <v>198</v>
      </c>
      <c r="O231" s="89">
        <v>43834</v>
      </c>
      <c r="P231" s="92" t="s">
        <v>64</v>
      </c>
      <c r="Q231" s="78" t="s">
        <v>43</v>
      </c>
      <c r="R231" s="163"/>
      <c r="S231" s="104"/>
      <c r="T231" s="22"/>
      <c r="U231" s="22"/>
      <c r="V231" s="91"/>
      <c r="X231"/>
      <c r="Y231" s="69"/>
      <c r="Z231"/>
      <c r="AA231" s="33"/>
    </row>
    <row r="232" spans="1:27" s="73" customFormat="1" ht="30" hidden="1">
      <c r="A232" s="79">
        <v>195</v>
      </c>
      <c r="B232" s="92" t="s">
        <v>21</v>
      </c>
      <c r="C232" s="92">
        <v>2</v>
      </c>
      <c r="D232" s="92" t="s">
        <v>31</v>
      </c>
      <c r="E232" s="92" t="s">
        <v>26</v>
      </c>
      <c r="F232" s="92">
        <v>18</v>
      </c>
      <c r="G232" s="87" t="s">
        <v>87</v>
      </c>
      <c r="H232" s="93">
        <v>2.2000000000000002</v>
      </c>
      <c r="I232" s="4">
        <v>14</v>
      </c>
      <c r="J232" s="4"/>
      <c r="K232" s="93">
        <v>2.2000000000000002</v>
      </c>
      <c r="L232" s="4"/>
      <c r="M232" s="114" t="s">
        <v>115</v>
      </c>
      <c r="N232" s="88" t="s">
        <v>198</v>
      </c>
      <c r="O232" s="89">
        <v>43834</v>
      </c>
      <c r="P232" s="92" t="s">
        <v>64</v>
      </c>
      <c r="Q232" s="78" t="s">
        <v>44</v>
      </c>
      <c r="R232" s="163"/>
      <c r="S232" s="104"/>
      <c r="T232" s="22"/>
      <c r="U232" s="22"/>
      <c r="V232" s="91"/>
      <c r="X232"/>
      <c r="Y232" s="69"/>
      <c r="Z232"/>
      <c r="AA232" s="33"/>
    </row>
    <row r="233" spans="1:27" s="73" customFormat="1" ht="30" hidden="1">
      <c r="A233" s="79">
        <v>196</v>
      </c>
      <c r="B233" s="92" t="s">
        <v>21</v>
      </c>
      <c r="C233" s="92">
        <v>2</v>
      </c>
      <c r="D233" s="92" t="s">
        <v>31</v>
      </c>
      <c r="E233" s="92" t="s">
        <v>26</v>
      </c>
      <c r="F233" s="92">
        <v>24</v>
      </c>
      <c r="G233" s="87" t="s">
        <v>68</v>
      </c>
      <c r="H233" s="93">
        <v>0.7</v>
      </c>
      <c r="I233" s="4">
        <v>4</v>
      </c>
      <c r="J233" s="4"/>
      <c r="K233" s="93">
        <v>0.7</v>
      </c>
      <c r="L233" s="4"/>
      <c r="M233" s="114" t="s">
        <v>115</v>
      </c>
      <c r="N233" s="88" t="s">
        <v>198</v>
      </c>
      <c r="O233" s="89">
        <v>43834</v>
      </c>
      <c r="P233" s="92" t="s">
        <v>64</v>
      </c>
      <c r="Q233" s="78" t="s">
        <v>44</v>
      </c>
      <c r="R233" s="163"/>
      <c r="S233" s="104"/>
      <c r="T233" s="22"/>
      <c r="U233" s="22"/>
      <c r="V233" s="91"/>
      <c r="X233"/>
      <c r="Y233" s="69"/>
      <c r="Z233"/>
      <c r="AA233" s="33"/>
    </row>
    <row r="234" spans="1:27" s="73" customFormat="1" ht="30" hidden="1">
      <c r="A234" s="79">
        <v>197</v>
      </c>
      <c r="B234" s="92" t="s">
        <v>21</v>
      </c>
      <c r="C234" s="92">
        <v>2</v>
      </c>
      <c r="D234" s="92" t="s">
        <v>31</v>
      </c>
      <c r="E234" s="92" t="s">
        <v>26</v>
      </c>
      <c r="F234" s="92">
        <v>83</v>
      </c>
      <c r="G234" s="87" t="s">
        <v>70</v>
      </c>
      <c r="H234" s="93">
        <v>2</v>
      </c>
      <c r="I234" s="4">
        <v>9</v>
      </c>
      <c r="J234" s="4"/>
      <c r="K234" s="93">
        <v>2</v>
      </c>
      <c r="L234" s="4"/>
      <c r="M234" s="114" t="s">
        <v>115</v>
      </c>
      <c r="N234" s="88" t="s">
        <v>198</v>
      </c>
      <c r="O234" s="89">
        <v>43834</v>
      </c>
      <c r="P234" s="92" t="s">
        <v>64</v>
      </c>
      <c r="Q234" s="78" t="s">
        <v>43</v>
      </c>
      <c r="R234" s="163"/>
      <c r="S234" s="104"/>
      <c r="T234" s="22"/>
      <c r="U234" s="22"/>
      <c r="V234" s="91"/>
      <c r="X234"/>
      <c r="Y234" s="69"/>
      <c r="Z234"/>
      <c r="AA234" s="33"/>
    </row>
    <row r="235" spans="1:27" s="73" customFormat="1" ht="30" hidden="1">
      <c r="A235" s="79">
        <v>198</v>
      </c>
      <c r="B235" s="92" t="s">
        <v>21</v>
      </c>
      <c r="C235" s="92">
        <v>2</v>
      </c>
      <c r="D235" s="92" t="s">
        <v>31</v>
      </c>
      <c r="E235" s="92" t="s">
        <v>26</v>
      </c>
      <c r="F235" s="92">
        <v>83</v>
      </c>
      <c r="G235" s="87" t="s">
        <v>195</v>
      </c>
      <c r="H235" s="93">
        <v>0.7</v>
      </c>
      <c r="I235" s="4">
        <v>4</v>
      </c>
      <c r="J235" s="4"/>
      <c r="K235" s="93">
        <v>0.7</v>
      </c>
      <c r="L235" s="4"/>
      <c r="M235" s="114" t="s">
        <v>115</v>
      </c>
      <c r="N235" s="88" t="s">
        <v>198</v>
      </c>
      <c r="O235" s="89">
        <v>43834</v>
      </c>
      <c r="P235" s="92" t="s">
        <v>64</v>
      </c>
      <c r="Q235" s="78" t="s">
        <v>43</v>
      </c>
      <c r="R235" s="163"/>
      <c r="S235" s="104"/>
      <c r="T235" s="22"/>
      <c r="U235" s="22"/>
      <c r="V235" s="91" t="s">
        <v>53</v>
      </c>
      <c r="X235"/>
      <c r="Y235" s="69"/>
      <c r="Z235"/>
      <c r="AA235" s="33"/>
    </row>
    <row r="236" spans="1:27" s="73" customFormat="1" ht="30" hidden="1">
      <c r="A236" s="79">
        <v>199</v>
      </c>
      <c r="B236" s="92" t="s">
        <v>21</v>
      </c>
      <c r="C236" s="92">
        <v>2</v>
      </c>
      <c r="D236" s="92" t="s">
        <v>31</v>
      </c>
      <c r="E236" s="92" t="s">
        <v>26</v>
      </c>
      <c r="F236" s="92">
        <v>83</v>
      </c>
      <c r="G236" s="87" t="s">
        <v>196</v>
      </c>
      <c r="H236" s="93">
        <v>1.4</v>
      </c>
      <c r="I236" s="4">
        <v>8</v>
      </c>
      <c r="J236" s="4"/>
      <c r="K236" s="93">
        <v>1.4</v>
      </c>
      <c r="L236" s="4"/>
      <c r="M236" s="114" t="s">
        <v>115</v>
      </c>
      <c r="N236" s="88" t="s">
        <v>198</v>
      </c>
      <c r="O236" s="89">
        <v>43834</v>
      </c>
      <c r="P236" s="92" t="s">
        <v>64</v>
      </c>
      <c r="Q236" s="78" t="s">
        <v>43</v>
      </c>
      <c r="R236" s="163"/>
      <c r="S236" s="104"/>
      <c r="T236" s="22"/>
      <c r="U236" s="22"/>
      <c r="V236" s="91" t="s">
        <v>53</v>
      </c>
      <c r="X236"/>
      <c r="Y236" s="69"/>
      <c r="Z236"/>
      <c r="AA236" s="33"/>
    </row>
    <row r="237" spans="1:27" s="73" customFormat="1" ht="30" hidden="1">
      <c r="A237" s="79">
        <v>200</v>
      </c>
      <c r="B237" s="92" t="s">
        <v>21</v>
      </c>
      <c r="C237" s="92">
        <v>2</v>
      </c>
      <c r="D237" s="92" t="s">
        <v>31</v>
      </c>
      <c r="E237" s="92" t="s">
        <v>197</v>
      </c>
      <c r="F237" s="92">
        <v>85</v>
      </c>
      <c r="G237" s="87" t="s">
        <v>126</v>
      </c>
      <c r="H237" s="93">
        <v>1.2</v>
      </c>
      <c r="I237" s="4">
        <v>6</v>
      </c>
      <c r="J237" s="4"/>
      <c r="K237" s="93">
        <v>1.2</v>
      </c>
      <c r="L237" s="4"/>
      <c r="M237" s="114" t="s">
        <v>115</v>
      </c>
      <c r="N237" s="88" t="s">
        <v>198</v>
      </c>
      <c r="O237" s="89">
        <v>43834</v>
      </c>
      <c r="P237" s="92" t="s">
        <v>64</v>
      </c>
      <c r="Q237" s="78" t="s">
        <v>44</v>
      </c>
      <c r="R237" s="163"/>
      <c r="S237" s="104"/>
      <c r="T237" s="22"/>
      <c r="U237" s="22"/>
      <c r="V237" s="91" t="s">
        <v>55</v>
      </c>
      <c r="X237"/>
      <c r="Y237" s="69"/>
      <c r="Z237"/>
      <c r="AA237" s="33"/>
    </row>
    <row r="238" spans="1:27" s="73" customFormat="1" ht="30" hidden="1">
      <c r="A238" s="79">
        <v>201</v>
      </c>
      <c r="B238" s="92" t="s">
        <v>21</v>
      </c>
      <c r="C238" s="92">
        <v>2</v>
      </c>
      <c r="D238" s="92" t="s">
        <v>31</v>
      </c>
      <c r="E238" s="92" t="s">
        <v>26</v>
      </c>
      <c r="F238" s="92">
        <v>96</v>
      </c>
      <c r="G238" s="87" t="s">
        <v>72</v>
      </c>
      <c r="H238" s="93">
        <v>3</v>
      </c>
      <c r="I238" s="4">
        <v>10</v>
      </c>
      <c r="J238" s="4"/>
      <c r="K238" s="93">
        <v>3</v>
      </c>
      <c r="L238" s="4"/>
      <c r="M238" s="114" t="s">
        <v>115</v>
      </c>
      <c r="N238" s="88" t="s">
        <v>198</v>
      </c>
      <c r="O238" s="89">
        <v>43834</v>
      </c>
      <c r="P238" s="92" t="s">
        <v>64</v>
      </c>
      <c r="Q238" s="78" t="s">
        <v>44</v>
      </c>
      <c r="R238" s="163"/>
      <c r="S238" s="104"/>
      <c r="T238" s="22"/>
      <c r="U238" s="22"/>
      <c r="V238" s="91"/>
      <c r="X238"/>
      <c r="Y238" s="69"/>
      <c r="Z238"/>
      <c r="AA238" s="33"/>
    </row>
    <row r="239" spans="1:27" s="73" customFormat="1" ht="30" hidden="1">
      <c r="A239" s="79">
        <v>202</v>
      </c>
      <c r="B239" s="92" t="s">
        <v>21</v>
      </c>
      <c r="C239" s="92">
        <v>2</v>
      </c>
      <c r="D239" s="92" t="s">
        <v>31</v>
      </c>
      <c r="E239" s="92" t="s">
        <v>26</v>
      </c>
      <c r="F239" s="92">
        <v>97</v>
      </c>
      <c r="G239" s="87" t="s">
        <v>67</v>
      </c>
      <c r="H239" s="93">
        <v>2</v>
      </c>
      <c r="I239" s="4">
        <v>13</v>
      </c>
      <c r="J239" s="4"/>
      <c r="K239" s="93">
        <v>2</v>
      </c>
      <c r="L239" s="4"/>
      <c r="M239" s="114" t="s">
        <v>115</v>
      </c>
      <c r="N239" s="88" t="s">
        <v>198</v>
      </c>
      <c r="O239" s="89">
        <v>43834</v>
      </c>
      <c r="P239" s="92" t="s">
        <v>64</v>
      </c>
      <c r="Q239" s="78" t="s">
        <v>44</v>
      </c>
      <c r="R239" s="163"/>
      <c r="S239" s="104"/>
      <c r="T239" s="22"/>
      <c r="U239" s="22"/>
      <c r="V239" s="91" t="s">
        <v>34</v>
      </c>
      <c r="X239"/>
      <c r="Y239" s="69"/>
      <c r="Z239"/>
      <c r="AA239" s="33"/>
    </row>
    <row r="240" spans="1:27" s="73" customFormat="1" ht="30" hidden="1">
      <c r="A240" s="79">
        <v>203</v>
      </c>
      <c r="B240" s="92" t="s">
        <v>21</v>
      </c>
      <c r="C240" s="92">
        <v>2</v>
      </c>
      <c r="D240" s="92" t="s">
        <v>31</v>
      </c>
      <c r="E240" s="92" t="s">
        <v>26</v>
      </c>
      <c r="F240" s="92">
        <v>97</v>
      </c>
      <c r="G240" s="87" t="s">
        <v>97</v>
      </c>
      <c r="H240" s="93">
        <v>1</v>
      </c>
      <c r="I240" s="4">
        <v>7</v>
      </c>
      <c r="J240" s="4"/>
      <c r="K240" s="93">
        <v>1</v>
      </c>
      <c r="L240" s="4"/>
      <c r="M240" s="114" t="s">
        <v>115</v>
      </c>
      <c r="N240" s="88" t="s">
        <v>198</v>
      </c>
      <c r="O240" s="89">
        <v>43834</v>
      </c>
      <c r="P240" s="92" t="s">
        <v>64</v>
      </c>
      <c r="Q240" s="78" t="s">
        <v>44</v>
      </c>
      <c r="R240" s="163"/>
      <c r="S240" s="104"/>
      <c r="T240" s="22"/>
      <c r="U240" s="22"/>
      <c r="V240" s="91" t="s">
        <v>53</v>
      </c>
      <c r="X240"/>
      <c r="Y240" s="69"/>
      <c r="Z240"/>
      <c r="AA240" s="33"/>
    </row>
    <row r="241" spans="1:27" s="73" customFormat="1" ht="30" hidden="1">
      <c r="A241" s="79">
        <v>204</v>
      </c>
      <c r="B241" s="92" t="s">
        <v>21</v>
      </c>
      <c r="C241" s="92">
        <v>2</v>
      </c>
      <c r="D241" s="92" t="s">
        <v>31</v>
      </c>
      <c r="E241" s="92" t="s">
        <v>26</v>
      </c>
      <c r="F241" s="92">
        <v>98</v>
      </c>
      <c r="G241" s="87" t="s">
        <v>86</v>
      </c>
      <c r="H241" s="93">
        <v>2.4</v>
      </c>
      <c r="I241" s="4">
        <v>9</v>
      </c>
      <c r="J241" s="4"/>
      <c r="K241" s="93">
        <v>2.4</v>
      </c>
      <c r="L241" s="4"/>
      <c r="M241" s="114" t="s">
        <v>115</v>
      </c>
      <c r="N241" s="88" t="s">
        <v>198</v>
      </c>
      <c r="O241" s="89">
        <v>43834</v>
      </c>
      <c r="P241" s="92" t="s">
        <v>64</v>
      </c>
      <c r="Q241" s="78" t="s">
        <v>44</v>
      </c>
      <c r="R241" s="163"/>
      <c r="S241" s="104"/>
      <c r="T241" s="22"/>
      <c r="U241" s="22"/>
      <c r="V241" s="91" t="s">
        <v>54</v>
      </c>
      <c r="X241"/>
      <c r="Y241" s="69"/>
      <c r="Z241"/>
      <c r="AA241" s="33"/>
    </row>
    <row r="242" spans="1:27" s="73" customFormat="1" ht="30" hidden="1">
      <c r="A242" s="79">
        <v>205</v>
      </c>
      <c r="B242" s="92" t="s">
        <v>21</v>
      </c>
      <c r="C242" s="92">
        <v>2</v>
      </c>
      <c r="D242" s="92" t="s">
        <v>23</v>
      </c>
      <c r="E242" s="92" t="s">
        <v>197</v>
      </c>
      <c r="F242" s="92">
        <v>101</v>
      </c>
      <c r="G242" s="87" t="s">
        <v>86</v>
      </c>
      <c r="H242" s="93">
        <v>0.3</v>
      </c>
      <c r="I242" s="4">
        <v>6</v>
      </c>
      <c r="J242" s="4"/>
      <c r="K242" s="93">
        <v>0.3</v>
      </c>
      <c r="L242" s="4"/>
      <c r="M242" s="114" t="s">
        <v>115</v>
      </c>
      <c r="N242" s="88" t="s">
        <v>200</v>
      </c>
      <c r="O242" s="89">
        <v>43834</v>
      </c>
      <c r="P242" s="92" t="s">
        <v>64</v>
      </c>
      <c r="Q242" s="78" t="s">
        <v>43</v>
      </c>
      <c r="R242" s="163"/>
      <c r="S242" s="104"/>
      <c r="T242" s="22"/>
      <c r="U242" s="22"/>
      <c r="V242" s="91" t="s">
        <v>54</v>
      </c>
      <c r="X242"/>
      <c r="Y242" s="69"/>
      <c r="Z242"/>
      <c r="AA242" s="33"/>
    </row>
    <row r="243" spans="1:27" s="73" customFormat="1" ht="30" hidden="1">
      <c r="A243" s="79">
        <v>206</v>
      </c>
      <c r="B243" s="92" t="s">
        <v>21</v>
      </c>
      <c r="C243" s="92">
        <v>2</v>
      </c>
      <c r="D243" s="92" t="s">
        <v>23</v>
      </c>
      <c r="E243" s="92" t="s">
        <v>26</v>
      </c>
      <c r="F243" s="92">
        <v>104</v>
      </c>
      <c r="G243" s="87" t="s">
        <v>69</v>
      </c>
      <c r="H243" s="93">
        <v>2.4</v>
      </c>
      <c r="I243" s="4">
        <v>24</v>
      </c>
      <c r="J243" s="4">
        <v>8</v>
      </c>
      <c r="K243" s="88" t="s">
        <v>199</v>
      </c>
      <c r="L243" s="4"/>
      <c r="M243" s="114" t="s">
        <v>115</v>
      </c>
      <c r="N243" s="88" t="s">
        <v>200</v>
      </c>
      <c r="O243" s="89">
        <v>43834</v>
      </c>
      <c r="P243" s="92" t="s">
        <v>64</v>
      </c>
      <c r="Q243" s="78" t="s">
        <v>43</v>
      </c>
      <c r="R243" s="163"/>
      <c r="S243" s="104"/>
      <c r="T243" s="22"/>
      <c r="U243" s="22"/>
      <c r="V243" s="91" t="s">
        <v>55</v>
      </c>
      <c r="X243"/>
      <c r="Y243" s="69"/>
      <c r="Z243"/>
      <c r="AA243" s="33"/>
    </row>
    <row r="244" spans="1:27" s="73" customFormat="1" ht="30" hidden="1">
      <c r="A244" s="79">
        <v>207</v>
      </c>
      <c r="B244" s="92" t="s">
        <v>21</v>
      </c>
      <c r="C244" s="92">
        <v>2</v>
      </c>
      <c r="D244" s="92" t="s">
        <v>23</v>
      </c>
      <c r="E244" s="92" t="s">
        <v>26</v>
      </c>
      <c r="F244" s="92">
        <v>105</v>
      </c>
      <c r="G244" s="87" t="s">
        <v>67</v>
      </c>
      <c r="H244" s="93">
        <v>0.6</v>
      </c>
      <c r="I244" s="4">
        <v>10</v>
      </c>
      <c r="J244" s="4"/>
      <c r="K244" s="93">
        <v>0.6</v>
      </c>
      <c r="L244" s="4"/>
      <c r="M244" s="114" t="s">
        <v>115</v>
      </c>
      <c r="N244" s="88" t="s">
        <v>200</v>
      </c>
      <c r="O244" s="89">
        <v>43834</v>
      </c>
      <c r="P244" s="92" t="s">
        <v>64</v>
      </c>
      <c r="Q244" s="78" t="s">
        <v>43</v>
      </c>
      <c r="R244" s="163"/>
      <c r="S244" s="104"/>
      <c r="T244" s="22"/>
      <c r="U244" s="22"/>
      <c r="V244" s="91" t="s">
        <v>55</v>
      </c>
      <c r="X244"/>
      <c r="Y244" s="69"/>
      <c r="Z244"/>
      <c r="AA244" s="33"/>
    </row>
    <row r="245" spans="1:27" s="73" customFormat="1" ht="30" hidden="1">
      <c r="A245" s="79">
        <v>208</v>
      </c>
      <c r="B245" s="92" t="s">
        <v>21</v>
      </c>
      <c r="C245" s="92">
        <v>2</v>
      </c>
      <c r="D245" s="92" t="s">
        <v>23</v>
      </c>
      <c r="E245" s="92" t="s">
        <v>26</v>
      </c>
      <c r="F245" s="92">
        <v>87</v>
      </c>
      <c r="G245" s="87" t="s">
        <v>77</v>
      </c>
      <c r="H245" s="93">
        <v>0.3</v>
      </c>
      <c r="I245" s="4">
        <v>4</v>
      </c>
      <c r="J245" s="4"/>
      <c r="K245" s="93">
        <v>0.3</v>
      </c>
      <c r="L245" s="4"/>
      <c r="M245" s="114" t="s">
        <v>115</v>
      </c>
      <c r="N245" s="88" t="s">
        <v>200</v>
      </c>
      <c r="O245" s="89">
        <v>43834</v>
      </c>
      <c r="P245" s="92" t="s">
        <v>64</v>
      </c>
      <c r="Q245" s="78" t="s">
        <v>43</v>
      </c>
      <c r="R245" s="163"/>
      <c r="S245" s="104"/>
      <c r="T245" s="22"/>
      <c r="U245" s="22"/>
      <c r="V245" s="91" t="s">
        <v>55</v>
      </c>
      <c r="X245"/>
      <c r="Y245" s="69"/>
      <c r="Z245"/>
      <c r="AA245" s="33"/>
    </row>
    <row r="246" spans="1:27" s="73" customFormat="1" ht="20.25" hidden="1" customHeight="1">
      <c r="A246" s="79">
        <v>209</v>
      </c>
      <c r="B246" s="92" t="s">
        <v>21</v>
      </c>
      <c r="C246" s="92">
        <v>2</v>
      </c>
      <c r="D246" s="92" t="s">
        <v>23</v>
      </c>
      <c r="E246" s="92" t="s">
        <v>26</v>
      </c>
      <c r="F246" s="92">
        <v>90</v>
      </c>
      <c r="G246" s="87" t="s">
        <v>89</v>
      </c>
      <c r="H246" s="93">
        <v>1.2</v>
      </c>
      <c r="I246" s="4">
        <v>13</v>
      </c>
      <c r="J246" s="4">
        <v>10</v>
      </c>
      <c r="K246" s="4">
        <v>1.2</v>
      </c>
      <c r="L246" s="93"/>
      <c r="M246" s="114" t="s">
        <v>115</v>
      </c>
      <c r="N246" s="88" t="s">
        <v>200</v>
      </c>
      <c r="O246" s="89">
        <v>43834</v>
      </c>
      <c r="P246" s="92" t="s">
        <v>64</v>
      </c>
      <c r="Q246" s="78" t="s">
        <v>44</v>
      </c>
      <c r="R246" s="163"/>
      <c r="S246" s="104"/>
      <c r="T246" s="22"/>
      <c r="U246" s="22"/>
      <c r="V246" s="91" t="s">
        <v>53</v>
      </c>
      <c r="X246"/>
      <c r="Y246" s="69"/>
      <c r="Z246"/>
      <c r="AA246" s="33"/>
    </row>
    <row r="247" spans="1:27" s="73" customFormat="1" ht="30" hidden="1">
      <c r="A247" s="79">
        <v>210</v>
      </c>
      <c r="B247" s="92" t="s">
        <v>21</v>
      </c>
      <c r="C247" s="92">
        <v>2</v>
      </c>
      <c r="D247" s="92" t="s">
        <v>24</v>
      </c>
      <c r="E247" s="92" t="s">
        <v>26</v>
      </c>
      <c r="F247" s="92">
        <v>1</v>
      </c>
      <c r="G247" s="87" t="s">
        <v>89</v>
      </c>
      <c r="H247" s="93">
        <v>4.4000000000000004</v>
      </c>
      <c r="I247" s="4">
        <v>82</v>
      </c>
      <c r="J247" s="4">
        <v>82</v>
      </c>
      <c r="K247" s="4">
        <v>4.4000000000000004</v>
      </c>
      <c r="L247" s="93"/>
      <c r="M247" s="114" t="s">
        <v>115</v>
      </c>
      <c r="N247" s="88" t="s">
        <v>201</v>
      </c>
      <c r="O247" s="89">
        <v>43834</v>
      </c>
      <c r="P247" s="92" t="s">
        <v>64</v>
      </c>
      <c r="Q247" s="78" t="s">
        <v>44</v>
      </c>
      <c r="R247" s="163"/>
      <c r="S247" s="104"/>
      <c r="T247" s="22"/>
      <c r="U247" s="22"/>
      <c r="V247" s="91" t="s">
        <v>53</v>
      </c>
      <c r="X247"/>
      <c r="Y247" s="69"/>
      <c r="Z247"/>
      <c r="AA247" s="33"/>
    </row>
    <row r="248" spans="1:27" s="73" customFormat="1" ht="30" hidden="1">
      <c r="A248" s="79">
        <v>211</v>
      </c>
      <c r="B248" s="92" t="s">
        <v>21</v>
      </c>
      <c r="C248" s="92">
        <v>2</v>
      </c>
      <c r="D248" s="92" t="s">
        <v>24</v>
      </c>
      <c r="E248" s="92" t="s">
        <v>26</v>
      </c>
      <c r="F248" s="92">
        <v>1</v>
      </c>
      <c r="G248" s="87" t="s">
        <v>67</v>
      </c>
      <c r="H248" s="93">
        <v>1.8</v>
      </c>
      <c r="I248" s="4">
        <v>41</v>
      </c>
      <c r="J248" s="4">
        <v>41</v>
      </c>
      <c r="K248" s="4">
        <v>1.8</v>
      </c>
      <c r="L248" s="93"/>
      <c r="M248" s="114" t="s">
        <v>115</v>
      </c>
      <c r="N248" s="88" t="s">
        <v>201</v>
      </c>
      <c r="O248" s="89">
        <v>43834</v>
      </c>
      <c r="P248" s="92" t="s">
        <v>64</v>
      </c>
      <c r="Q248" s="78" t="s">
        <v>44</v>
      </c>
      <c r="R248" s="163"/>
      <c r="S248" s="104"/>
      <c r="T248" s="22"/>
      <c r="U248" s="22"/>
      <c r="V248" s="91" t="s">
        <v>53</v>
      </c>
      <c r="X248"/>
      <c r="Y248" s="69"/>
      <c r="Z248"/>
      <c r="AA248" s="33"/>
    </row>
    <row r="249" spans="1:27" s="73" customFormat="1" ht="20.25" hidden="1" customHeight="1">
      <c r="A249" s="79">
        <v>212</v>
      </c>
      <c r="B249" s="92" t="s">
        <v>21</v>
      </c>
      <c r="C249" s="92">
        <v>2</v>
      </c>
      <c r="D249" s="92" t="s">
        <v>24</v>
      </c>
      <c r="E249" s="92" t="s">
        <v>26</v>
      </c>
      <c r="F249" s="92">
        <v>2</v>
      </c>
      <c r="G249" s="87" t="s">
        <v>67</v>
      </c>
      <c r="H249" s="93">
        <v>4.7</v>
      </c>
      <c r="I249" s="4">
        <v>140</v>
      </c>
      <c r="J249" s="4">
        <v>121</v>
      </c>
      <c r="K249" s="4">
        <v>4.7</v>
      </c>
      <c r="L249" s="93"/>
      <c r="M249" s="114" t="s">
        <v>115</v>
      </c>
      <c r="N249" s="88" t="s">
        <v>201</v>
      </c>
      <c r="O249" s="89">
        <v>43834</v>
      </c>
      <c r="P249" s="92" t="s">
        <v>64</v>
      </c>
      <c r="Q249" s="78" t="s">
        <v>44</v>
      </c>
      <c r="R249" s="163"/>
      <c r="S249" s="104"/>
      <c r="T249" s="22"/>
      <c r="U249" s="22"/>
      <c r="V249" s="91" t="s">
        <v>61</v>
      </c>
      <c r="X249"/>
      <c r="Y249" s="69"/>
      <c r="Z249"/>
      <c r="AA249" s="33"/>
    </row>
    <row r="250" spans="1:27" s="73" customFormat="1" ht="30" hidden="1">
      <c r="A250" s="79">
        <v>213</v>
      </c>
      <c r="B250" s="92" t="s">
        <v>21</v>
      </c>
      <c r="C250" s="92">
        <v>2</v>
      </c>
      <c r="D250" s="92" t="s">
        <v>22</v>
      </c>
      <c r="E250" s="92" t="s">
        <v>26</v>
      </c>
      <c r="F250" s="92">
        <v>106</v>
      </c>
      <c r="G250" s="87" t="s">
        <v>69</v>
      </c>
      <c r="H250" s="93">
        <v>7</v>
      </c>
      <c r="I250" s="4">
        <v>465</v>
      </c>
      <c r="J250" s="4">
        <f>339+15</f>
        <v>354</v>
      </c>
      <c r="K250" s="4">
        <v>7</v>
      </c>
      <c r="L250" s="93"/>
      <c r="M250" s="114" t="s">
        <v>115</v>
      </c>
      <c r="N250" s="88" t="s">
        <v>202</v>
      </c>
      <c r="O250" s="89">
        <v>43834</v>
      </c>
      <c r="P250" s="92" t="s">
        <v>64</v>
      </c>
      <c r="Q250" s="78" t="s">
        <v>43</v>
      </c>
      <c r="R250" s="163">
        <v>10805</v>
      </c>
      <c r="S250" s="104"/>
      <c r="T250" s="22"/>
      <c r="U250" s="22"/>
      <c r="V250" s="91" t="s">
        <v>34</v>
      </c>
      <c r="X250"/>
      <c r="Y250" s="69"/>
      <c r="Z250"/>
      <c r="AA250" s="33"/>
    </row>
    <row r="251" spans="1:27" s="73" customFormat="1" ht="30" hidden="1">
      <c r="A251" s="79">
        <v>214</v>
      </c>
      <c r="B251" s="92" t="s">
        <v>21</v>
      </c>
      <c r="C251" s="92">
        <v>2</v>
      </c>
      <c r="D251" s="92" t="s">
        <v>22</v>
      </c>
      <c r="E251" s="92" t="s">
        <v>26</v>
      </c>
      <c r="F251" s="92">
        <v>12</v>
      </c>
      <c r="G251" s="87" t="s">
        <v>72</v>
      </c>
      <c r="H251" s="93">
        <v>4.5</v>
      </c>
      <c r="I251" s="4">
        <v>167</v>
      </c>
      <c r="J251" s="4">
        <f>132+5</f>
        <v>137</v>
      </c>
      <c r="K251" s="4">
        <v>4.5</v>
      </c>
      <c r="L251" s="93"/>
      <c r="M251" s="114" t="s">
        <v>115</v>
      </c>
      <c r="N251" s="88" t="s">
        <v>202</v>
      </c>
      <c r="O251" s="89">
        <v>43834</v>
      </c>
      <c r="P251" s="92" t="s">
        <v>64</v>
      </c>
      <c r="Q251" s="78" t="s">
        <v>44</v>
      </c>
      <c r="R251" s="163">
        <v>1605</v>
      </c>
      <c r="S251" s="104"/>
      <c r="T251" s="22"/>
      <c r="U251" s="22"/>
      <c r="V251" s="91" t="s">
        <v>34</v>
      </c>
      <c r="X251"/>
      <c r="Y251" s="69"/>
      <c r="Z251"/>
      <c r="AA251" s="33"/>
    </row>
    <row r="252" spans="1:27" s="73" customFormat="1" ht="30" hidden="1">
      <c r="A252" s="79">
        <v>215</v>
      </c>
      <c r="B252" s="92" t="s">
        <v>21</v>
      </c>
      <c r="C252" s="92">
        <v>2</v>
      </c>
      <c r="D252" s="92" t="s">
        <v>32</v>
      </c>
      <c r="E252" s="92" t="s">
        <v>26</v>
      </c>
      <c r="F252" s="92">
        <v>103</v>
      </c>
      <c r="G252" s="87" t="s">
        <v>79</v>
      </c>
      <c r="H252" s="93">
        <v>9</v>
      </c>
      <c r="I252" s="4">
        <v>236</v>
      </c>
      <c r="J252" s="4">
        <f>202+3</f>
        <v>205</v>
      </c>
      <c r="K252" s="4">
        <v>9</v>
      </c>
      <c r="L252" s="93"/>
      <c r="M252" s="114" t="s">
        <v>115</v>
      </c>
      <c r="N252" s="88" t="s">
        <v>203</v>
      </c>
      <c r="O252" s="89">
        <v>43834</v>
      </c>
      <c r="P252" s="92" t="s">
        <v>64</v>
      </c>
      <c r="Q252" s="78" t="s">
        <v>43</v>
      </c>
      <c r="R252" s="163">
        <v>2691</v>
      </c>
      <c r="S252" s="104"/>
      <c r="T252" s="22"/>
      <c r="U252" s="22"/>
      <c r="V252" s="91" t="s">
        <v>34</v>
      </c>
      <c r="X252"/>
      <c r="Y252" s="69"/>
      <c r="Z252"/>
      <c r="AA252" s="33"/>
    </row>
    <row r="253" spans="1:27" s="73" customFormat="1" ht="30" hidden="1">
      <c r="A253" s="79">
        <v>216</v>
      </c>
      <c r="B253" s="92" t="s">
        <v>21</v>
      </c>
      <c r="C253" s="92">
        <v>2</v>
      </c>
      <c r="D253" s="92" t="s">
        <v>32</v>
      </c>
      <c r="E253" s="92" t="s">
        <v>26</v>
      </c>
      <c r="F253" s="92">
        <v>104</v>
      </c>
      <c r="G253" s="87" t="s">
        <v>68</v>
      </c>
      <c r="H253" s="93">
        <v>3</v>
      </c>
      <c r="I253" s="4">
        <v>122</v>
      </c>
      <c r="J253" s="4">
        <f>111+3</f>
        <v>114</v>
      </c>
      <c r="K253" s="4">
        <v>3</v>
      </c>
      <c r="L253" s="93"/>
      <c r="M253" s="114" t="s">
        <v>115</v>
      </c>
      <c r="N253" s="88" t="s">
        <v>203</v>
      </c>
      <c r="O253" s="89">
        <v>43834</v>
      </c>
      <c r="P253" s="92" t="s">
        <v>64</v>
      </c>
      <c r="Q253" s="78" t="s">
        <v>43</v>
      </c>
      <c r="R253" s="163">
        <v>2514</v>
      </c>
      <c r="S253" s="104"/>
      <c r="T253" s="22"/>
      <c r="U253" s="22"/>
      <c r="V253" s="91" t="s">
        <v>34</v>
      </c>
      <c r="X253"/>
      <c r="Y253" s="69"/>
      <c r="Z253"/>
      <c r="AA253" s="33"/>
    </row>
    <row r="254" spans="1:27" s="73" customFormat="1" ht="30" hidden="1">
      <c r="A254" s="79">
        <v>217</v>
      </c>
      <c r="B254" s="92" t="s">
        <v>21</v>
      </c>
      <c r="C254" s="92">
        <v>2</v>
      </c>
      <c r="D254" s="92" t="s">
        <v>32</v>
      </c>
      <c r="E254" s="92" t="s">
        <v>26</v>
      </c>
      <c r="F254" s="92">
        <v>88</v>
      </c>
      <c r="G254" s="87" t="s">
        <v>88</v>
      </c>
      <c r="H254" s="93">
        <v>1.6</v>
      </c>
      <c r="I254" s="4">
        <v>28</v>
      </c>
      <c r="J254" s="4">
        <v>26</v>
      </c>
      <c r="K254" s="103">
        <v>1.6</v>
      </c>
      <c r="L254" s="93"/>
      <c r="M254" s="114" t="s">
        <v>115</v>
      </c>
      <c r="N254" s="88" t="s">
        <v>203</v>
      </c>
      <c r="O254" s="89">
        <v>43834</v>
      </c>
      <c r="P254" s="92" t="s">
        <v>64</v>
      </c>
      <c r="Q254" s="78" t="s">
        <v>43</v>
      </c>
      <c r="R254" s="163">
        <v>277</v>
      </c>
      <c r="S254" s="104"/>
      <c r="T254" s="22"/>
      <c r="U254" s="22"/>
      <c r="V254" s="91"/>
      <c r="X254"/>
      <c r="Y254" s="69"/>
      <c r="Z254"/>
      <c r="AA254" s="33"/>
    </row>
    <row r="255" spans="1:27" s="73" customFormat="1" ht="30" hidden="1">
      <c r="A255" s="79">
        <v>218</v>
      </c>
      <c r="B255" s="92" t="s">
        <v>21</v>
      </c>
      <c r="C255" s="92">
        <v>2</v>
      </c>
      <c r="D255" s="92" t="s">
        <v>32</v>
      </c>
      <c r="E255" s="92" t="s">
        <v>26</v>
      </c>
      <c r="F255" s="92">
        <v>88</v>
      </c>
      <c r="G255" s="87" t="s">
        <v>72</v>
      </c>
      <c r="H255" s="93">
        <v>9.5</v>
      </c>
      <c r="I255" s="4">
        <v>128</v>
      </c>
      <c r="J255" s="4">
        <v>115</v>
      </c>
      <c r="K255" s="93">
        <v>9.5</v>
      </c>
      <c r="L255" s="4"/>
      <c r="M255" s="114" t="s">
        <v>115</v>
      </c>
      <c r="N255" s="88" t="s">
        <v>203</v>
      </c>
      <c r="O255" s="89">
        <v>43834</v>
      </c>
      <c r="P255" s="92" t="s">
        <v>64</v>
      </c>
      <c r="Q255" s="78" t="s">
        <v>43</v>
      </c>
      <c r="R255" s="163">
        <v>655</v>
      </c>
      <c r="S255" s="104"/>
      <c r="T255" s="22"/>
      <c r="U255" s="22"/>
      <c r="V255" s="91" t="s">
        <v>36</v>
      </c>
      <c r="X255"/>
      <c r="Y255" s="69"/>
      <c r="Z255"/>
      <c r="AA255" s="33"/>
    </row>
    <row r="256" spans="1:27" s="73" customFormat="1" ht="30" hidden="1">
      <c r="A256" s="79">
        <v>219</v>
      </c>
      <c r="B256" s="92" t="s">
        <v>21</v>
      </c>
      <c r="C256" s="92">
        <v>2</v>
      </c>
      <c r="D256" s="92" t="s">
        <v>32</v>
      </c>
      <c r="E256" s="92" t="s">
        <v>26</v>
      </c>
      <c r="F256" s="92">
        <v>88</v>
      </c>
      <c r="G256" s="87" t="s">
        <v>74</v>
      </c>
      <c r="H256" s="93">
        <v>0.8</v>
      </c>
      <c r="I256" s="4">
        <v>44</v>
      </c>
      <c r="J256" s="4">
        <v>38</v>
      </c>
      <c r="K256" s="93">
        <v>0.8</v>
      </c>
      <c r="L256" s="4"/>
      <c r="M256" s="114" t="s">
        <v>115</v>
      </c>
      <c r="N256" s="88" t="s">
        <v>203</v>
      </c>
      <c r="O256" s="89">
        <v>43834</v>
      </c>
      <c r="P256" s="92" t="s">
        <v>64</v>
      </c>
      <c r="Q256" s="78" t="s">
        <v>43</v>
      </c>
      <c r="R256" s="163">
        <v>221</v>
      </c>
      <c r="S256" s="104"/>
      <c r="T256" s="22"/>
      <c r="U256" s="22"/>
      <c r="V256" s="91"/>
      <c r="X256"/>
      <c r="Y256" s="69"/>
      <c r="Z256"/>
      <c r="AA256" s="33"/>
    </row>
    <row r="257" spans="1:27" s="73" customFormat="1" ht="30" hidden="1">
      <c r="A257" s="79">
        <v>220</v>
      </c>
      <c r="B257" s="92" t="s">
        <v>21</v>
      </c>
      <c r="C257" s="92">
        <v>2</v>
      </c>
      <c r="D257" s="92" t="s">
        <v>32</v>
      </c>
      <c r="E257" s="92" t="s">
        <v>26</v>
      </c>
      <c r="F257" s="92">
        <v>88</v>
      </c>
      <c r="G257" s="87" t="s">
        <v>68</v>
      </c>
      <c r="H257" s="93">
        <v>1.5</v>
      </c>
      <c r="I257" s="4">
        <v>34</v>
      </c>
      <c r="J257" s="4">
        <f>30+1</f>
        <v>31</v>
      </c>
      <c r="K257" s="93">
        <v>1.5</v>
      </c>
      <c r="L257" s="4"/>
      <c r="M257" s="114" t="s">
        <v>115</v>
      </c>
      <c r="N257" s="88" t="s">
        <v>203</v>
      </c>
      <c r="O257" s="89">
        <v>43834</v>
      </c>
      <c r="P257" s="92" t="s">
        <v>64</v>
      </c>
      <c r="Q257" s="78" t="s">
        <v>43</v>
      </c>
      <c r="R257" s="163">
        <v>404</v>
      </c>
      <c r="S257" s="104"/>
      <c r="T257" s="22"/>
      <c r="U257" s="22"/>
      <c r="V257" s="91"/>
      <c r="X257"/>
      <c r="Y257" s="69"/>
      <c r="Z257"/>
      <c r="AA257" s="33"/>
    </row>
    <row r="258" spans="1:27" s="73" customFormat="1" ht="30" hidden="1">
      <c r="A258" s="79">
        <v>221</v>
      </c>
      <c r="B258" s="92" t="s">
        <v>21</v>
      </c>
      <c r="C258" s="92">
        <v>2</v>
      </c>
      <c r="D258" s="92" t="s">
        <v>32</v>
      </c>
      <c r="E258" s="92" t="s">
        <v>26</v>
      </c>
      <c r="F258" s="92">
        <v>91</v>
      </c>
      <c r="G258" s="87" t="s">
        <v>80</v>
      </c>
      <c r="H258" s="93">
        <v>3</v>
      </c>
      <c r="I258" s="4">
        <v>55</v>
      </c>
      <c r="J258" s="4">
        <v>49</v>
      </c>
      <c r="K258" s="93">
        <v>3</v>
      </c>
      <c r="L258" s="4"/>
      <c r="M258" s="114" t="s">
        <v>115</v>
      </c>
      <c r="N258" s="88" t="s">
        <v>203</v>
      </c>
      <c r="O258" s="89">
        <v>43834</v>
      </c>
      <c r="P258" s="92" t="s">
        <v>64</v>
      </c>
      <c r="Q258" s="78" t="s">
        <v>44</v>
      </c>
      <c r="R258" s="163">
        <v>271</v>
      </c>
      <c r="S258" s="104"/>
      <c r="T258" s="22"/>
      <c r="U258" s="22"/>
      <c r="V258" s="91"/>
      <c r="X258"/>
      <c r="Y258" s="69"/>
      <c r="Z258"/>
      <c r="AA258" s="33"/>
    </row>
    <row r="259" spans="1:27" s="73" customFormat="1" ht="30" hidden="1">
      <c r="A259" s="79">
        <v>222</v>
      </c>
      <c r="B259" s="92" t="s">
        <v>21</v>
      </c>
      <c r="C259" s="92">
        <v>2</v>
      </c>
      <c r="D259" s="92" t="s">
        <v>32</v>
      </c>
      <c r="E259" s="92" t="s">
        <v>26</v>
      </c>
      <c r="F259" s="92">
        <v>91</v>
      </c>
      <c r="G259" s="87" t="s">
        <v>84</v>
      </c>
      <c r="H259" s="93">
        <v>5.8</v>
      </c>
      <c r="I259" s="4">
        <v>45</v>
      </c>
      <c r="J259" s="4">
        <v>41</v>
      </c>
      <c r="K259" s="93">
        <v>5.8</v>
      </c>
      <c r="L259" s="4"/>
      <c r="M259" s="114" t="s">
        <v>115</v>
      </c>
      <c r="N259" s="88" t="s">
        <v>203</v>
      </c>
      <c r="O259" s="89">
        <v>43834</v>
      </c>
      <c r="P259" s="92" t="s">
        <v>64</v>
      </c>
      <c r="Q259" s="78" t="s">
        <v>44</v>
      </c>
      <c r="R259" s="163">
        <v>202</v>
      </c>
      <c r="S259" s="104"/>
      <c r="T259" s="22"/>
      <c r="U259" s="22"/>
      <c r="V259" s="91"/>
      <c r="X259"/>
      <c r="Y259" s="69"/>
      <c r="Z259"/>
      <c r="AA259" s="33"/>
    </row>
    <row r="260" spans="1:27" s="73" customFormat="1" ht="30" hidden="1">
      <c r="A260" s="79">
        <v>223</v>
      </c>
      <c r="B260" s="92" t="s">
        <v>21</v>
      </c>
      <c r="C260" s="92">
        <v>2</v>
      </c>
      <c r="D260" s="92" t="s">
        <v>32</v>
      </c>
      <c r="E260" s="92" t="s">
        <v>26</v>
      </c>
      <c r="F260" s="92">
        <v>97</v>
      </c>
      <c r="G260" s="87" t="s">
        <v>71</v>
      </c>
      <c r="H260" s="93">
        <v>3.5</v>
      </c>
      <c r="I260" s="4">
        <v>101</v>
      </c>
      <c r="J260" s="4">
        <v>94</v>
      </c>
      <c r="K260" s="93">
        <v>3.5</v>
      </c>
      <c r="L260" s="4"/>
      <c r="M260" s="114" t="s">
        <v>115</v>
      </c>
      <c r="N260" s="88" t="s">
        <v>203</v>
      </c>
      <c r="O260" s="89">
        <v>43834</v>
      </c>
      <c r="P260" s="92" t="s">
        <v>64</v>
      </c>
      <c r="Q260" s="78" t="s">
        <v>44</v>
      </c>
      <c r="R260" s="163">
        <v>542</v>
      </c>
      <c r="S260" s="104"/>
      <c r="T260" s="22"/>
      <c r="U260" s="22"/>
      <c r="V260" s="91"/>
      <c r="X260"/>
      <c r="Y260" s="69"/>
      <c r="Z260"/>
      <c r="AA260" s="33"/>
    </row>
    <row r="261" spans="1:27" s="73" customFormat="1" ht="30" hidden="1">
      <c r="A261" s="79">
        <v>224</v>
      </c>
      <c r="B261" s="92" t="s">
        <v>21</v>
      </c>
      <c r="C261" s="92">
        <v>2</v>
      </c>
      <c r="D261" s="92" t="s">
        <v>204</v>
      </c>
      <c r="E261" s="92" t="s">
        <v>26</v>
      </c>
      <c r="F261" s="92">
        <v>97</v>
      </c>
      <c r="G261" s="87" t="s">
        <v>74</v>
      </c>
      <c r="H261" s="93">
        <v>2.9</v>
      </c>
      <c r="I261" s="4">
        <v>55</v>
      </c>
      <c r="J261" s="4">
        <v>52</v>
      </c>
      <c r="K261" s="93">
        <v>2.9</v>
      </c>
      <c r="L261" s="4"/>
      <c r="M261" s="114" t="s">
        <v>115</v>
      </c>
      <c r="N261" s="88" t="s">
        <v>203</v>
      </c>
      <c r="O261" s="89">
        <v>43834</v>
      </c>
      <c r="P261" s="92" t="s">
        <v>64</v>
      </c>
      <c r="Q261" s="78" t="s">
        <v>44</v>
      </c>
      <c r="R261" s="163">
        <v>294</v>
      </c>
      <c r="S261" s="104"/>
      <c r="T261" s="22"/>
      <c r="U261" s="22"/>
      <c r="V261" s="91"/>
      <c r="X261"/>
      <c r="Y261" s="69"/>
      <c r="Z261"/>
      <c r="AA261" s="33"/>
    </row>
    <row r="262" spans="1:27" s="73" customFormat="1" ht="30" hidden="1">
      <c r="A262" s="79">
        <v>225</v>
      </c>
      <c r="B262" s="92" t="s">
        <v>21</v>
      </c>
      <c r="C262" s="92">
        <v>2</v>
      </c>
      <c r="D262" s="92" t="s">
        <v>247</v>
      </c>
      <c r="E262" s="92" t="s">
        <v>28</v>
      </c>
      <c r="F262" s="92">
        <v>105</v>
      </c>
      <c r="G262" s="87" t="s">
        <v>248</v>
      </c>
      <c r="H262" s="93">
        <v>0.5</v>
      </c>
      <c r="I262" s="4">
        <v>143</v>
      </c>
      <c r="J262" s="4">
        <v>114</v>
      </c>
      <c r="K262" s="93"/>
      <c r="L262" s="4">
        <v>0.5</v>
      </c>
      <c r="M262" s="114" t="s">
        <v>115</v>
      </c>
      <c r="N262" s="88" t="s">
        <v>249</v>
      </c>
      <c r="O262" s="89">
        <v>43860</v>
      </c>
      <c r="P262" s="92" t="s">
        <v>64</v>
      </c>
      <c r="Q262" s="78" t="s">
        <v>43</v>
      </c>
      <c r="R262" s="163">
        <v>2471</v>
      </c>
      <c r="S262" s="104"/>
      <c r="T262" s="22"/>
      <c r="U262" s="22"/>
      <c r="V262" s="91"/>
      <c r="X262"/>
      <c r="Y262" s="69"/>
      <c r="Z262"/>
      <c r="AA262" s="33"/>
    </row>
    <row r="263" spans="1:27" s="73" customFormat="1" ht="30" hidden="1">
      <c r="A263" s="79">
        <v>226</v>
      </c>
      <c r="B263" s="92" t="s">
        <v>21</v>
      </c>
      <c r="C263" s="92">
        <v>2</v>
      </c>
      <c r="D263" s="92" t="s">
        <v>247</v>
      </c>
      <c r="E263" s="92" t="s">
        <v>28</v>
      </c>
      <c r="F263" s="92">
        <v>105</v>
      </c>
      <c r="G263" s="87" t="s">
        <v>162</v>
      </c>
      <c r="H263" s="93">
        <v>0.9</v>
      </c>
      <c r="I263" s="4">
        <v>326</v>
      </c>
      <c r="J263" s="4">
        <v>280</v>
      </c>
      <c r="K263" s="93"/>
      <c r="L263" s="4">
        <v>0.9</v>
      </c>
      <c r="M263" s="114" t="s">
        <v>115</v>
      </c>
      <c r="N263" s="88" t="s">
        <v>249</v>
      </c>
      <c r="O263" s="89">
        <v>43860</v>
      </c>
      <c r="P263" s="92" t="s">
        <v>64</v>
      </c>
      <c r="Q263" s="78" t="s">
        <v>43</v>
      </c>
      <c r="R263" s="163">
        <v>4857</v>
      </c>
      <c r="S263" s="104"/>
      <c r="T263" s="22"/>
      <c r="U263" s="22"/>
      <c r="V263" s="91"/>
      <c r="X263"/>
      <c r="Y263" s="69"/>
      <c r="Z263"/>
      <c r="AA263" s="33"/>
    </row>
    <row r="264" spans="1:27" s="73" customFormat="1">
      <c r="A264" s="79"/>
      <c r="B264" s="169"/>
      <c r="C264" s="170"/>
      <c r="D264" s="171"/>
      <c r="E264" s="92"/>
      <c r="F264" s="92"/>
      <c r="G264" s="87"/>
      <c r="H264" s="93"/>
      <c r="I264" s="4"/>
      <c r="J264" s="4"/>
      <c r="K264" s="93"/>
      <c r="L264" s="4"/>
      <c r="M264" s="114"/>
      <c r="N264" s="88"/>
      <c r="O264" s="89"/>
      <c r="P264" s="92"/>
      <c r="Q264" s="78"/>
      <c r="R264" s="163">
        <f>SUM(R250:R263)</f>
        <v>27809</v>
      </c>
      <c r="S264" s="104"/>
      <c r="T264" s="22"/>
      <c r="U264" s="22"/>
      <c r="V264" s="91"/>
      <c r="X264"/>
      <c r="Y264" s="69"/>
      <c r="Z264"/>
      <c r="AA264" s="33"/>
    </row>
    <row r="265" spans="1:27" s="73" customFormat="1">
      <c r="A265" s="79"/>
      <c r="B265" s="447" t="s">
        <v>21</v>
      </c>
      <c r="C265" s="448"/>
      <c r="D265" s="443" t="s">
        <v>286</v>
      </c>
      <c r="E265" s="92"/>
      <c r="F265" s="92"/>
      <c r="G265" s="87"/>
      <c r="H265" s="93"/>
      <c r="I265" s="4"/>
      <c r="J265" s="163">
        <f>J250</f>
        <v>354</v>
      </c>
      <c r="K265" s="93"/>
      <c r="L265" s="4"/>
      <c r="M265" s="114"/>
      <c r="N265" s="88"/>
      <c r="O265" s="89"/>
      <c r="P265" s="92" t="s">
        <v>64</v>
      </c>
      <c r="Q265" s="78" t="s">
        <v>43</v>
      </c>
      <c r="R265" s="163">
        <f>R250</f>
        <v>10805</v>
      </c>
      <c r="S265" s="104"/>
      <c r="T265" s="22"/>
      <c r="U265" s="22"/>
      <c r="V265" s="91"/>
      <c r="X265"/>
      <c r="Y265" s="69"/>
      <c r="Z265"/>
      <c r="AA265" s="33"/>
    </row>
    <row r="266" spans="1:27" s="73" customFormat="1">
      <c r="A266" s="79"/>
      <c r="B266" s="449"/>
      <c r="C266" s="450"/>
      <c r="D266" s="444"/>
      <c r="E266" s="92"/>
      <c r="F266" s="92"/>
      <c r="G266" s="87"/>
      <c r="H266" s="93"/>
      <c r="I266" s="4"/>
      <c r="J266" s="163">
        <f>J251</f>
        <v>137</v>
      </c>
      <c r="K266" s="93"/>
      <c r="L266" s="4"/>
      <c r="M266" s="114"/>
      <c r="N266" s="88"/>
      <c r="O266" s="89"/>
      <c r="P266" s="92" t="s">
        <v>64</v>
      </c>
      <c r="Q266" s="78" t="s">
        <v>44</v>
      </c>
      <c r="R266" s="163">
        <f>R251</f>
        <v>1605</v>
      </c>
      <c r="S266" s="104"/>
      <c r="T266" s="22"/>
      <c r="U266" s="22"/>
      <c r="V266" s="91"/>
      <c r="X266"/>
      <c r="Y266" s="69"/>
      <c r="Z266"/>
      <c r="AA266" s="33"/>
    </row>
    <row r="267" spans="1:27" s="73" customFormat="1">
      <c r="A267" s="79"/>
      <c r="B267" s="449"/>
      <c r="C267" s="450"/>
      <c r="D267" s="443" t="s">
        <v>284</v>
      </c>
      <c r="E267" s="92"/>
      <c r="F267" s="92"/>
      <c r="G267" s="87"/>
      <c r="H267" s="93"/>
      <c r="I267" s="4"/>
      <c r="J267" s="163">
        <f>J252+J253+J254+J255+J256+J257</f>
        <v>529</v>
      </c>
      <c r="K267" s="93"/>
      <c r="L267" s="4"/>
      <c r="M267" s="114"/>
      <c r="N267" s="88"/>
      <c r="O267" s="89"/>
      <c r="P267" s="92" t="s">
        <v>64</v>
      </c>
      <c r="Q267" s="78" t="s">
        <v>43</v>
      </c>
      <c r="R267" s="163">
        <f>R252+R253+R254+R255+R256+R257</f>
        <v>6762</v>
      </c>
      <c r="S267" s="104"/>
      <c r="T267" s="22"/>
      <c r="U267" s="22"/>
      <c r="V267" s="91"/>
      <c r="X267"/>
      <c r="Y267" s="69"/>
      <c r="Z267"/>
      <c r="AA267" s="33"/>
    </row>
    <row r="268" spans="1:27" s="73" customFormat="1">
      <c r="A268" s="79"/>
      <c r="B268" s="449"/>
      <c r="C268" s="450"/>
      <c r="D268" s="444"/>
      <c r="E268" s="92"/>
      <c r="F268" s="92"/>
      <c r="G268" s="87"/>
      <c r="H268" s="93"/>
      <c r="I268" s="4"/>
      <c r="J268" s="163">
        <f>J258+J259+J260+J261</f>
        <v>236</v>
      </c>
      <c r="K268" s="93"/>
      <c r="L268" s="4"/>
      <c r="M268" s="114"/>
      <c r="N268" s="88"/>
      <c r="O268" s="89"/>
      <c r="P268" s="92" t="s">
        <v>64</v>
      </c>
      <c r="Q268" s="78" t="s">
        <v>44</v>
      </c>
      <c r="R268" s="163">
        <f>R258+R259+R260+R261</f>
        <v>1309</v>
      </c>
      <c r="S268" s="104"/>
      <c r="T268" s="22"/>
      <c r="U268" s="22"/>
      <c r="V268" s="91"/>
      <c r="X268"/>
      <c r="Y268" s="69"/>
      <c r="Z268"/>
      <c r="AA268" s="33"/>
    </row>
    <row r="269" spans="1:27" s="73" customFormat="1">
      <c r="A269" s="79"/>
      <c r="B269" s="451"/>
      <c r="C269" s="452"/>
      <c r="D269" s="92" t="s">
        <v>285</v>
      </c>
      <c r="E269" s="92"/>
      <c r="F269" s="92"/>
      <c r="G269" s="87"/>
      <c r="H269" s="93"/>
      <c r="I269" s="4"/>
      <c r="J269" s="163">
        <f>J262+J263</f>
        <v>394</v>
      </c>
      <c r="K269" s="93"/>
      <c r="L269" s="4"/>
      <c r="M269" s="114"/>
      <c r="N269" s="88"/>
      <c r="O269" s="89"/>
      <c r="P269" s="92" t="s">
        <v>64</v>
      </c>
      <c r="Q269" s="78" t="s">
        <v>43</v>
      </c>
      <c r="R269" s="163">
        <f>R262+R263</f>
        <v>7328</v>
      </c>
      <c r="S269" s="104"/>
      <c r="T269" s="22"/>
      <c r="U269" s="22"/>
      <c r="V269" s="91"/>
      <c r="X269"/>
      <c r="Y269" s="69"/>
      <c r="Z269"/>
      <c r="AA269" s="33"/>
    </row>
    <row r="270" spans="1:27" s="73" customFormat="1" ht="20.25" hidden="1" customHeight="1">
      <c r="A270" s="79">
        <v>227</v>
      </c>
      <c r="B270" s="92" t="s">
        <v>8</v>
      </c>
      <c r="C270" s="92">
        <v>4</v>
      </c>
      <c r="D270" s="92" t="s">
        <v>31</v>
      </c>
      <c r="E270" s="92" t="s">
        <v>28</v>
      </c>
      <c r="F270" s="92">
        <v>110</v>
      </c>
      <c r="G270" s="87" t="s">
        <v>85</v>
      </c>
      <c r="H270" s="93">
        <v>0.3</v>
      </c>
      <c r="I270" s="4">
        <v>8</v>
      </c>
      <c r="J270" s="4">
        <v>4</v>
      </c>
      <c r="K270" s="93">
        <v>0.3</v>
      </c>
      <c r="L270" s="4"/>
      <c r="M270" s="114" t="s">
        <v>115</v>
      </c>
      <c r="N270" s="88" t="s">
        <v>205</v>
      </c>
      <c r="O270" s="89">
        <v>43834</v>
      </c>
      <c r="P270" s="92" t="s">
        <v>63</v>
      </c>
      <c r="Q270" s="4" t="s">
        <v>36</v>
      </c>
      <c r="R270" s="163">
        <v>57</v>
      </c>
      <c r="S270" s="104"/>
      <c r="T270" s="22"/>
      <c r="U270" s="22"/>
      <c r="V270" s="91" t="s">
        <v>36</v>
      </c>
      <c r="X270"/>
      <c r="Y270" s="69"/>
      <c r="Z270"/>
      <c r="AA270" s="33"/>
    </row>
    <row r="271" spans="1:27" s="73" customFormat="1" ht="20.25" hidden="1" customHeight="1">
      <c r="A271" s="79">
        <v>228</v>
      </c>
      <c r="B271" s="92" t="s">
        <v>8</v>
      </c>
      <c r="C271" s="92">
        <v>4</v>
      </c>
      <c r="D271" s="92" t="s">
        <v>31</v>
      </c>
      <c r="E271" s="92" t="s">
        <v>26</v>
      </c>
      <c r="F271" s="92">
        <v>110</v>
      </c>
      <c r="G271" s="87" t="s">
        <v>68</v>
      </c>
      <c r="H271" s="93">
        <v>0.1</v>
      </c>
      <c r="I271" s="4">
        <v>3</v>
      </c>
      <c r="J271" s="4">
        <v>1</v>
      </c>
      <c r="K271" s="93">
        <v>0.1</v>
      </c>
      <c r="L271" s="4"/>
      <c r="M271" s="114" t="s">
        <v>115</v>
      </c>
      <c r="N271" s="88" t="s">
        <v>205</v>
      </c>
      <c r="O271" s="89">
        <v>43834</v>
      </c>
      <c r="P271" s="92" t="s">
        <v>63</v>
      </c>
      <c r="Q271" s="4" t="s">
        <v>36</v>
      </c>
      <c r="R271" s="163"/>
      <c r="S271" s="104"/>
      <c r="T271" s="22"/>
      <c r="U271" s="22"/>
      <c r="V271" s="91"/>
      <c r="X271"/>
      <c r="Y271" s="69"/>
      <c r="Z271"/>
      <c r="AA271" s="33"/>
    </row>
    <row r="272" spans="1:27" s="73" customFormat="1" ht="20.25" hidden="1" customHeight="1">
      <c r="A272" s="79">
        <v>229</v>
      </c>
      <c r="B272" s="92" t="s">
        <v>8</v>
      </c>
      <c r="C272" s="92">
        <v>3</v>
      </c>
      <c r="D272" s="92" t="s">
        <v>31</v>
      </c>
      <c r="E272" s="92" t="s">
        <v>26</v>
      </c>
      <c r="F272" s="92">
        <v>52</v>
      </c>
      <c r="G272" s="87" t="s">
        <v>78</v>
      </c>
      <c r="H272" s="93">
        <v>1.7</v>
      </c>
      <c r="I272" s="4">
        <v>4</v>
      </c>
      <c r="J272" s="4"/>
      <c r="K272" s="93">
        <v>1.7</v>
      </c>
      <c r="L272" s="4"/>
      <c r="M272" s="114" t="s">
        <v>115</v>
      </c>
      <c r="N272" s="88" t="s">
        <v>205</v>
      </c>
      <c r="O272" s="89">
        <v>43834</v>
      </c>
      <c r="P272" s="92" t="s">
        <v>64</v>
      </c>
      <c r="Q272" s="78" t="s">
        <v>241</v>
      </c>
      <c r="R272" s="163"/>
      <c r="S272" s="104"/>
      <c r="T272" s="22"/>
      <c r="U272" s="22"/>
      <c r="V272" s="91"/>
      <c r="X272"/>
      <c r="Y272" s="69"/>
      <c r="Z272"/>
      <c r="AA272" s="33"/>
    </row>
    <row r="273" spans="1:27" s="73" customFormat="1" ht="20.25" hidden="1" customHeight="1">
      <c r="A273" s="79">
        <v>230</v>
      </c>
      <c r="B273" s="92" t="s">
        <v>8</v>
      </c>
      <c r="C273" s="92">
        <v>2</v>
      </c>
      <c r="D273" s="92" t="s">
        <v>31</v>
      </c>
      <c r="E273" s="92" t="s">
        <v>29</v>
      </c>
      <c r="F273" s="92">
        <v>53</v>
      </c>
      <c r="G273" s="87" t="s">
        <v>89</v>
      </c>
      <c r="H273" s="93">
        <v>0.5</v>
      </c>
      <c r="I273" s="4">
        <v>4</v>
      </c>
      <c r="J273" s="4"/>
      <c r="K273" s="93">
        <v>0.5</v>
      </c>
      <c r="L273" s="4"/>
      <c r="M273" s="114" t="s">
        <v>115</v>
      </c>
      <c r="N273" s="88" t="s">
        <v>205</v>
      </c>
      <c r="O273" s="89">
        <v>43834</v>
      </c>
      <c r="P273" s="92" t="s">
        <v>64</v>
      </c>
      <c r="Q273" s="78" t="s">
        <v>241</v>
      </c>
      <c r="R273" s="163"/>
      <c r="S273" s="104"/>
      <c r="T273" s="22"/>
      <c r="U273" s="22"/>
      <c r="V273" s="91"/>
      <c r="X273"/>
      <c r="Y273" s="69"/>
      <c r="Z273"/>
      <c r="AA273" s="33"/>
    </row>
    <row r="274" spans="1:27" s="73" customFormat="1" ht="20.25" hidden="1" customHeight="1">
      <c r="A274" s="79">
        <v>231</v>
      </c>
      <c r="B274" s="92" t="s">
        <v>8</v>
      </c>
      <c r="C274" s="92">
        <v>4</v>
      </c>
      <c r="D274" s="92" t="s">
        <v>31</v>
      </c>
      <c r="E274" s="92" t="s">
        <v>26</v>
      </c>
      <c r="F274" s="92">
        <v>65</v>
      </c>
      <c r="G274" s="87" t="s">
        <v>79</v>
      </c>
      <c r="H274" s="93">
        <v>3.1</v>
      </c>
      <c r="I274" s="4">
        <v>21</v>
      </c>
      <c r="J274" s="4"/>
      <c r="K274" s="93">
        <v>3.1</v>
      </c>
      <c r="L274" s="4"/>
      <c r="M274" s="114" t="s">
        <v>115</v>
      </c>
      <c r="N274" s="88" t="s">
        <v>205</v>
      </c>
      <c r="O274" s="89">
        <v>43834</v>
      </c>
      <c r="P274" s="92" t="s">
        <v>63</v>
      </c>
      <c r="Q274" s="4" t="s">
        <v>36</v>
      </c>
      <c r="R274" s="163"/>
      <c r="S274" s="104"/>
      <c r="T274" s="22"/>
      <c r="U274" s="22"/>
      <c r="V274" s="91" t="s">
        <v>36</v>
      </c>
      <c r="X274"/>
      <c r="Y274" s="69"/>
      <c r="Z274"/>
      <c r="AA274" s="33"/>
    </row>
    <row r="275" spans="1:27" s="73" customFormat="1" ht="20.25" hidden="1" customHeight="1">
      <c r="A275" s="79">
        <v>232</v>
      </c>
      <c r="B275" s="92" t="s">
        <v>8</v>
      </c>
      <c r="C275" s="92">
        <v>4</v>
      </c>
      <c r="D275" s="92" t="s">
        <v>31</v>
      </c>
      <c r="E275" s="92" t="s">
        <v>26</v>
      </c>
      <c r="F275" s="92">
        <v>72</v>
      </c>
      <c r="G275" s="87" t="s">
        <v>67</v>
      </c>
      <c r="H275" s="93">
        <v>4.4000000000000004</v>
      </c>
      <c r="I275" s="4">
        <v>60</v>
      </c>
      <c r="J275" s="4"/>
      <c r="K275" s="93">
        <v>4.4000000000000004</v>
      </c>
      <c r="L275" s="4"/>
      <c r="M275" s="114" t="s">
        <v>115</v>
      </c>
      <c r="N275" s="88" t="s">
        <v>205</v>
      </c>
      <c r="O275" s="89">
        <v>43834</v>
      </c>
      <c r="P275" s="92" t="s">
        <v>63</v>
      </c>
      <c r="Q275" s="4" t="s">
        <v>36</v>
      </c>
      <c r="R275" s="163"/>
      <c r="S275" s="104"/>
      <c r="T275" s="22"/>
      <c r="U275" s="22"/>
      <c r="V275" s="91" t="s">
        <v>16</v>
      </c>
      <c r="X275"/>
      <c r="Y275" s="69"/>
      <c r="Z275"/>
      <c r="AA275" s="33"/>
    </row>
    <row r="276" spans="1:27" s="73" customFormat="1" ht="20.25" hidden="1" customHeight="1">
      <c r="A276" s="79">
        <v>233</v>
      </c>
      <c r="B276" s="92" t="s">
        <v>8</v>
      </c>
      <c r="C276" s="92">
        <v>4</v>
      </c>
      <c r="D276" s="92" t="s">
        <v>31</v>
      </c>
      <c r="E276" s="92" t="s">
        <v>26</v>
      </c>
      <c r="F276" s="92">
        <v>73</v>
      </c>
      <c r="G276" s="87" t="s">
        <v>69</v>
      </c>
      <c r="H276" s="93">
        <v>6.3</v>
      </c>
      <c r="I276" s="4">
        <v>81</v>
      </c>
      <c r="J276" s="4"/>
      <c r="K276" s="93">
        <v>6.3</v>
      </c>
      <c r="L276" s="4"/>
      <c r="M276" s="114" t="s">
        <v>115</v>
      </c>
      <c r="N276" s="88" t="s">
        <v>205</v>
      </c>
      <c r="O276" s="89">
        <v>43834</v>
      </c>
      <c r="P276" s="92" t="s">
        <v>63</v>
      </c>
      <c r="Q276" s="4" t="s">
        <v>36</v>
      </c>
      <c r="R276" s="163"/>
      <c r="S276" s="104"/>
      <c r="T276" s="22"/>
      <c r="U276" s="22"/>
      <c r="V276" s="91" t="s">
        <v>16</v>
      </c>
      <c r="X276"/>
      <c r="Y276" s="69"/>
      <c r="Z276"/>
      <c r="AA276" s="33"/>
    </row>
    <row r="277" spans="1:27" s="73" customFormat="1" ht="20.25" hidden="1" customHeight="1">
      <c r="A277" s="79">
        <v>234</v>
      </c>
      <c r="B277" s="92" t="s">
        <v>8</v>
      </c>
      <c r="C277" s="92">
        <v>4</v>
      </c>
      <c r="D277" s="92" t="s">
        <v>31</v>
      </c>
      <c r="E277" s="92" t="s">
        <v>26</v>
      </c>
      <c r="F277" s="92">
        <v>87</v>
      </c>
      <c r="G277" s="87" t="s">
        <v>67</v>
      </c>
      <c r="H277" s="93">
        <v>1.7</v>
      </c>
      <c r="I277" s="4">
        <v>21</v>
      </c>
      <c r="J277" s="4"/>
      <c r="K277" s="93">
        <v>1.7</v>
      </c>
      <c r="L277" s="4"/>
      <c r="M277" s="114" t="s">
        <v>115</v>
      </c>
      <c r="N277" s="88" t="s">
        <v>205</v>
      </c>
      <c r="O277" s="89">
        <v>43834</v>
      </c>
      <c r="P277" s="92" t="s">
        <v>63</v>
      </c>
      <c r="Q277" s="4" t="s">
        <v>36</v>
      </c>
      <c r="R277" s="163"/>
      <c r="S277" s="104"/>
      <c r="T277" s="22"/>
      <c r="U277" s="22"/>
      <c r="V277" s="91" t="s">
        <v>36</v>
      </c>
      <c r="X277"/>
      <c r="Y277" s="69"/>
      <c r="Z277"/>
      <c r="AA277" s="33"/>
    </row>
    <row r="278" spans="1:27" s="73" customFormat="1" ht="20.25" hidden="1" customHeight="1">
      <c r="A278" s="79">
        <v>235</v>
      </c>
      <c r="B278" s="92" t="s">
        <v>8</v>
      </c>
      <c r="C278" s="92">
        <v>4</v>
      </c>
      <c r="D278" s="92" t="s">
        <v>31</v>
      </c>
      <c r="E278" s="92" t="s">
        <v>26</v>
      </c>
      <c r="F278" s="92">
        <v>89</v>
      </c>
      <c r="G278" s="87" t="s">
        <v>100</v>
      </c>
      <c r="H278" s="93">
        <v>2</v>
      </c>
      <c r="I278" s="4">
        <v>3</v>
      </c>
      <c r="J278" s="4"/>
      <c r="K278" s="93">
        <v>3</v>
      </c>
      <c r="L278" s="4"/>
      <c r="M278" s="114" t="s">
        <v>115</v>
      </c>
      <c r="N278" s="88" t="s">
        <v>205</v>
      </c>
      <c r="O278" s="89">
        <v>43834</v>
      </c>
      <c r="P278" s="92" t="s">
        <v>63</v>
      </c>
      <c r="Q278" s="4" t="s">
        <v>36</v>
      </c>
      <c r="R278" s="163"/>
      <c r="S278" s="104"/>
      <c r="T278" s="22"/>
      <c r="U278" s="22"/>
      <c r="V278" s="91" t="s">
        <v>36</v>
      </c>
      <c r="X278"/>
      <c r="Y278" s="69"/>
      <c r="Z278"/>
      <c r="AA278" s="33"/>
    </row>
    <row r="279" spans="1:27" s="73" customFormat="1" ht="20.25" hidden="1" customHeight="1">
      <c r="A279" s="79">
        <v>236</v>
      </c>
      <c r="B279" s="92" t="s">
        <v>8</v>
      </c>
      <c r="C279" s="92">
        <v>4</v>
      </c>
      <c r="D279" s="92" t="s">
        <v>23</v>
      </c>
      <c r="E279" s="92" t="s">
        <v>26</v>
      </c>
      <c r="F279" s="92">
        <v>93</v>
      </c>
      <c r="G279" s="87" t="s">
        <v>75</v>
      </c>
      <c r="H279" s="93">
        <v>4.0999999999999996</v>
      </c>
      <c r="I279" s="4">
        <v>74</v>
      </c>
      <c r="J279" s="4">
        <v>30</v>
      </c>
      <c r="K279" s="93">
        <v>4.0999999999999996</v>
      </c>
      <c r="L279" s="4"/>
      <c r="M279" s="114" t="s">
        <v>115</v>
      </c>
      <c r="N279" s="88" t="s">
        <v>206</v>
      </c>
      <c r="O279" s="89">
        <v>43834</v>
      </c>
      <c r="P279" s="92" t="s">
        <v>63</v>
      </c>
      <c r="Q279" s="4" t="s">
        <v>36</v>
      </c>
      <c r="R279" s="163"/>
      <c r="S279" s="104"/>
      <c r="T279" s="22"/>
      <c r="U279" s="22"/>
      <c r="V279" s="91" t="s">
        <v>36</v>
      </c>
      <c r="X279"/>
      <c r="Y279" s="69"/>
      <c r="Z279"/>
      <c r="AA279" s="33"/>
    </row>
    <row r="280" spans="1:27" s="73" customFormat="1" ht="20.25" hidden="1" customHeight="1">
      <c r="A280" s="79">
        <v>237</v>
      </c>
      <c r="B280" s="92" t="s">
        <v>8</v>
      </c>
      <c r="C280" s="92">
        <v>4</v>
      </c>
      <c r="D280" s="92" t="s">
        <v>24</v>
      </c>
      <c r="E280" s="92" t="s">
        <v>26</v>
      </c>
      <c r="F280" s="92">
        <v>100</v>
      </c>
      <c r="G280" s="87" t="s">
        <v>71</v>
      </c>
      <c r="H280" s="93">
        <v>3</v>
      </c>
      <c r="I280" s="4">
        <v>47</v>
      </c>
      <c r="J280" s="4">
        <v>47</v>
      </c>
      <c r="K280" s="93">
        <v>3</v>
      </c>
      <c r="L280" s="4"/>
      <c r="M280" s="114" t="s">
        <v>115</v>
      </c>
      <c r="N280" s="88" t="s">
        <v>207</v>
      </c>
      <c r="O280" s="89">
        <v>43841</v>
      </c>
      <c r="P280" s="92" t="s">
        <v>63</v>
      </c>
      <c r="Q280" s="78" t="s">
        <v>36</v>
      </c>
      <c r="R280" s="163"/>
      <c r="S280" s="104"/>
      <c r="T280" s="22"/>
      <c r="U280" s="22"/>
      <c r="V280" s="91"/>
      <c r="X280"/>
      <c r="Y280" s="69"/>
      <c r="Z280"/>
      <c r="AA280" s="33"/>
    </row>
    <row r="281" spans="1:27" s="73" customFormat="1" ht="20.25" hidden="1" customHeight="1">
      <c r="A281" s="79">
        <v>238</v>
      </c>
      <c r="B281" s="92" t="s">
        <v>8</v>
      </c>
      <c r="C281" s="92">
        <v>4</v>
      </c>
      <c r="D281" s="92" t="s">
        <v>24</v>
      </c>
      <c r="E281" s="92" t="s">
        <v>26</v>
      </c>
      <c r="F281" s="92">
        <v>81</v>
      </c>
      <c r="G281" s="87" t="s">
        <v>89</v>
      </c>
      <c r="H281" s="93">
        <v>1.3</v>
      </c>
      <c r="I281" s="4">
        <v>31</v>
      </c>
      <c r="J281" s="4">
        <v>27</v>
      </c>
      <c r="K281" s="93">
        <v>1.3</v>
      </c>
      <c r="L281" s="4"/>
      <c r="M281" s="114" t="s">
        <v>115</v>
      </c>
      <c r="N281" s="88" t="s">
        <v>207</v>
      </c>
      <c r="O281" s="89">
        <v>43841</v>
      </c>
      <c r="P281" s="92" t="s">
        <v>63</v>
      </c>
      <c r="Q281" s="4" t="s">
        <v>36</v>
      </c>
      <c r="R281" s="163"/>
      <c r="S281" s="104"/>
      <c r="T281" s="22"/>
      <c r="U281" s="22"/>
      <c r="V281" s="91" t="s">
        <v>36</v>
      </c>
      <c r="X281"/>
      <c r="Y281" s="69"/>
      <c r="Z281"/>
      <c r="AA281" s="33"/>
    </row>
    <row r="282" spans="1:27" s="73" customFormat="1" ht="20.25" hidden="1" customHeight="1">
      <c r="A282" s="79">
        <v>239</v>
      </c>
      <c r="B282" s="92" t="s">
        <v>8</v>
      </c>
      <c r="C282" s="92">
        <v>2</v>
      </c>
      <c r="D282" s="92" t="s">
        <v>24</v>
      </c>
      <c r="E282" s="92" t="s">
        <v>26</v>
      </c>
      <c r="F282" s="92">
        <v>58</v>
      </c>
      <c r="G282" s="87" t="s">
        <v>79</v>
      </c>
      <c r="H282" s="93">
        <v>1.8</v>
      </c>
      <c r="I282" s="4">
        <v>38</v>
      </c>
      <c r="J282" s="4">
        <v>38</v>
      </c>
      <c r="K282" s="93">
        <v>1.8</v>
      </c>
      <c r="L282" s="103"/>
      <c r="M282" s="114" t="s">
        <v>115</v>
      </c>
      <c r="N282" s="88" t="s">
        <v>207</v>
      </c>
      <c r="O282" s="89">
        <v>43841</v>
      </c>
      <c r="P282" s="92" t="s">
        <v>63</v>
      </c>
      <c r="Q282" s="78" t="s">
        <v>36</v>
      </c>
      <c r="R282" s="163"/>
      <c r="S282" s="104"/>
      <c r="T282" s="22"/>
      <c r="U282" s="22"/>
      <c r="V282" s="91"/>
      <c r="X282"/>
      <c r="Y282" s="69"/>
      <c r="Z282"/>
      <c r="AA282" s="33"/>
    </row>
    <row r="283" spans="1:27" s="73" customFormat="1" ht="20.25" hidden="1" customHeight="1">
      <c r="A283" s="79">
        <v>240</v>
      </c>
      <c r="B283" s="92" t="s">
        <v>8</v>
      </c>
      <c r="C283" s="92">
        <v>4</v>
      </c>
      <c r="D283" s="92" t="s">
        <v>24</v>
      </c>
      <c r="E283" s="92" t="s">
        <v>26</v>
      </c>
      <c r="F283" s="92">
        <v>68</v>
      </c>
      <c r="G283" s="87" t="s">
        <v>71</v>
      </c>
      <c r="H283" s="93">
        <v>7.4</v>
      </c>
      <c r="I283" s="4">
        <v>147</v>
      </c>
      <c r="J283" s="4">
        <v>145</v>
      </c>
      <c r="K283" s="93">
        <v>7.4</v>
      </c>
      <c r="L283" s="103"/>
      <c r="M283" s="114" t="s">
        <v>115</v>
      </c>
      <c r="N283" s="88" t="s">
        <v>207</v>
      </c>
      <c r="O283" s="89">
        <v>43841</v>
      </c>
      <c r="P283" s="92" t="s">
        <v>63</v>
      </c>
      <c r="Q283" s="78" t="s">
        <v>36</v>
      </c>
      <c r="R283" s="163"/>
      <c r="S283" s="104"/>
      <c r="T283" s="22"/>
      <c r="U283" s="22"/>
      <c r="V283" s="91"/>
      <c r="X283"/>
      <c r="Y283" s="69"/>
      <c r="Z283"/>
      <c r="AA283" s="33"/>
    </row>
    <row r="284" spans="1:27" s="73" customFormat="1" ht="20.25" hidden="1" customHeight="1">
      <c r="A284" s="79">
        <v>241</v>
      </c>
      <c r="B284" s="92" t="s">
        <v>8</v>
      </c>
      <c r="C284" s="92">
        <v>4</v>
      </c>
      <c r="D284" s="92" t="s">
        <v>24</v>
      </c>
      <c r="E284" s="92" t="s">
        <v>26</v>
      </c>
      <c r="F284" s="92">
        <v>71</v>
      </c>
      <c r="G284" s="87" t="s">
        <v>71</v>
      </c>
      <c r="H284" s="93">
        <v>5</v>
      </c>
      <c r="I284" s="4">
        <v>134</v>
      </c>
      <c r="J284" s="4">
        <f>127+3</f>
        <v>130</v>
      </c>
      <c r="K284" s="93">
        <v>5</v>
      </c>
      <c r="L284" s="103"/>
      <c r="M284" s="114" t="s">
        <v>115</v>
      </c>
      <c r="N284" s="88" t="s">
        <v>207</v>
      </c>
      <c r="O284" s="89">
        <v>43841</v>
      </c>
      <c r="P284" s="92" t="s">
        <v>63</v>
      </c>
      <c r="Q284" s="78" t="s">
        <v>36</v>
      </c>
      <c r="R284" s="163"/>
      <c r="S284" s="104"/>
      <c r="T284" s="22"/>
      <c r="U284" s="22"/>
      <c r="V284" s="91"/>
      <c r="X284"/>
      <c r="Y284" s="69"/>
      <c r="Z284"/>
      <c r="AA284" s="33"/>
    </row>
    <row r="285" spans="1:27" s="73" customFormat="1" ht="20.25" hidden="1" customHeight="1">
      <c r="A285" s="79">
        <v>242</v>
      </c>
      <c r="B285" s="92" t="s">
        <v>8</v>
      </c>
      <c r="C285" s="92">
        <v>4</v>
      </c>
      <c r="D285" s="92" t="s">
        <v>24</v>
      </c>
      <c r="E285" s="92" t="s">
        <v>26</v>
      </c>
      <c r="F285" s="92">
        <v>94</v>
      </c>
      <c r="G285" s="87" t="s">
        <v>75</v>
      </c>
      <c r="H285" s="93">
        <v>5.9</v>
      </c>
      <c r="I285" s="4">
        <v>101</v>
      </c>
      <c r="J285" s="4">
        <v>101</v>
      </c>
      <c r="K285" s="4">
        <v>5.9</v>
      </c>
      <c r="L285" s="93"/>
      <c r="M285" s="114" t="s">
        <v>115</v>
      </c>
      <c r="N285" s="88" t="s">
        <v>207</v>
      </c>
      <c r="O285" s="89">
        <v>43841</v>
      </c>
      <c r="P285" s="92" t="s">
        <v>63</v>
      </c>
      <c r="Q285" s="4" t="s">
        <v>36</v>
      </c>
      <c r="R285" s="163"/>
      <c r="S285" s="104"/>
      <c r="T285" s="22"/>
      <c r="U285" s="22"/>
      <c r="V285" s="91" t="s">
        <v>16</v>
      </c>
      <c r="X285"/>
      <c r="Y285" s="69"/>
      <c r="Z285"/>
      <c r="AA285" s="33"/>
    </row>
    <row r="286" spans="1:27" s="73" customFormat="1" ht="20.25" hidden="1" customHeight="1">
      <c r="A286" s="79">
        <v>243</v>
      </c>
      <c r="B286" s="92" t="s">
        <v>8</v>
      </c>
      <c r="C286" s="92">
        <v>4</v>
      </c>
      <c r="D286" s="92" t="s">
        <v>22</v>
      </c>
      <c r="E286" s="92" t="s">
        <v>26</v>
      </c>
      <c r="F286" s="92">
        <v>110</v>
      </c>
      <c r="G286" s="87" t="s">
        <v>67</v>
      </c>
      <c r="H286" s="93">
        <v>6.9</v>
      </c>
      <c r="I286" s="4">
        <v>219</v>
      </c>
      <c r="J286" s="4">
        <f>188+10</f>
        <v>198</v>
      </c>
      <c r="K286" s="4">
        <v>6.9</v>
      </c>
      <c r="L286" s="93"/>
      <c r="M286" s="114" t="s">
        <v>115</v>
      </c>
      <c r="N286" s="88" t="s">
        <v>208</v>
      </c>
      <c r="O286" s="89">
        <v>43841</v>
      </c>
      <c r="P286" s="92" t="s">
        <v>63</v>
      </c>
      <c r="Q286" s="4" t="s">
        <v>36</v>
      </c>
      <c r="R286" s="163">
        <v>10450</v>
      </c>
      <c r="S286" s="104"/>
      <c r="T286" s="22"/>
      <c r="U286" s="22"/>
      <c r="V286" s="91" t="s">
        <v>16</v>
      </c>
      <c r="X286"/>
      <c r="Y286" s="69"/>
      <c r="Z286"/>
      <c r="AA286" s="33"/>
    </row>
    <row r="287" spans="1:27" s="73" customFormat="1" ht="20.25" hidden="1" customHeight="1">
      <c r="A287" s="79">
        <v>244</v>
      </c>
      <c r="B287" s="92" t="s">
        <v>8</v>
      </c>
      <c r="C287" s="92">
        <v>4</v>
      </c>
      <c r="D287" s="92" t="s">
        <v>22</v>
      </c>
      <c r="E287" s="92" t="s">
        <v>26</v>
      </c>
      <c r="F287" s="92">
        <v>64</v>
      </c>
      <c r="G287" s="87" t="s">
        <v>69</v>
      </c>
      <c r="H287" s="93">
        <v>7</v>
      </c>
      <c r="I287" s="4">
        <v>317</v>
      </c>
      <c r="J287" s="4">
        <f>259+14</f>
        <v>273</v>
      </c>
      <c r="K287" s="4">
        <v>7</v>
      </c>
      <c r="L287" s="93"/>
      <c r="M287" s="114" t="s">
        <v>115</v>
      </c>
      <c r="N287" s="88" t="s">
        <v>208</v>
      </c>
      <c r="O287" s="89">
        <v>43841</v>
      </c>
      <c r="P287" s="92" t="s">
        <v>63</v>
      </c>
      <c r="Q287" s="4" t="s">
        <v>36</v>
      </c>
      <c r="R287" s="163">
        <v>13416</v>
      </c>
      <c r="S287" s="104"/>
      <c r="T287" s="22"/>
      <c r="U287" s="22"/>
      <c r="V287" s="91" t="s">
        <v>16</v>
      </c>
      <c r="X287"/>
      <c r="Y287" s="69"/>
      <c r="Z287"/>
      <c r="AA287" s="33"/>
    </row>
    <row r="288" spans="1:27" s="73" customFormat="1" ht="20.25" hidden="1" customHeight="1">
      <c r="A288" s="79">
        <v>245</v>
      </c>
      <c r="B288" s="92" t="s">
        <v>8</v>
      </c>
      <c r="C288" s="92">
        <v>4</v>
      </c>
      <c r="D288" s="92" t="s">
        <v>22</v>
      </c>
      <c r="E288" s="92" t="s">
        <v>26</v>
      </c>
      <c r="F288" s="92">
        <v>84</v>
      </c>
      <c r="G288" s="87" t="s">
        <v>69</v>
      </c>
      <c r="H288" s="93">
        <v>5.9</v>
      </c>
      <c r="I288" s="4">
        <v>168</v>
      </c>
      <c r="J288" s="4">
        <f>142+4</f>
        <v>146</v>
      </c>
      <c r="K288" s="4">
        <v>5.9</v>
      </c>
      <c r="L288" s="93"/>
      <c r="M288" s="114" t="s">
        <v>115</v>
      </c>
      <c r="N288" s="88" t="s">
        <v>208</v>
      </c>
      <c r="O288" s="89">
        <v>43841</v>
      </c>
      <c r="P288" s="92" t="s">
        <v>63</v>
      </c>
      <c r="Q288" s="4" t="s">
        <v>36</v>
      </c>
      <c r="R288" s="163">
        <v>3965</v>
      </c>
      <c r="S288" s="104"/>
      <c r="T288" s="22"/>
      <c r="U288" s="22"/>
      <c r="V288" s="91" t="s">
        <v>16</v>
      </c>
      <c r="X288"/>
      <c r="Y288" s="69"/>
      <c r="Z288"/>
      <c r="AA288" s="33"/>
    </row>
    <row r="289" spans="1:27" s="73" customFormat="1" ht="20.25" hidden="1" customHeight="1">
      <c r="A289" s="79">
        <v>246</v>
      </c>
      <c r="B289" s="92" t="s">
        <v>8</v>
      </c>
      <c r="C289" s="92">
        <v>4</v>
      </c>
      <c r="D289" s="92" t="s">
        <v>32</v>
      </c>
      <c r="E289" s="92" t="s">
        <v>26</v>
      </c>
      <c r="F289" s="92">
        <v>100</v>
      </c>
      <c r="G289" s="87" t="s">
        <v>74</v>
      </c>
      <c r="H289" s="93">
        <v>4</v>
      </c>
      <c r="I289" s="4">
        <v>59</v>
      </c>
      <c r="J289" s="4">
        <f>52+3</f>
        <v>55</v>
      </c>
      <c r="K289" s="4">
        <v>4</v>
      </c>
      <c r="L289" s="93"/>
      <c r="M289" s="114" t="s">
        <v>115</v>
      </c>
      <c r="N289" s="88" t="s">
        <v>209</v>
      </c>
      <c r="O289" s="89">
        <v>43834</v>
      </c>
      <c r="P289" s="92" t="s">
        <v>63</v>
      </c>
      <c r="Q289" s="4" t="s">
        <v>36</v>
      </c>
      <c r="R289" s="163">
        <v>1446</v>
      </c>
      <c r="S289" s="104"/>
      <c r="T289" s="22"/>
      <c r="U289" s="22"/>
      <c r="V289" s="91" t="s">
        <v>16</v>
      </c>
      <c r="X289"/>
      <c r="Y289" s="69"/>
      <c r="Z289"/>
      <c r="AA289" s="33"/>
    </row>
    <row r="290" spans="1:27" s="73" customFormat="1" ht="20.25" hidden="1" customHeight="1">
      <c r="A290" s="79">
        <v>247</v>
      </c>
      <c r="B290" s="92" t="s">
        <v>8</v>
      </c>
      <c r="C290" s="92">
        <v>4</v>
      </c>
      <c r="D290" s="92" t="s">
        <v>32</v>
      </c>
      <c r="E290" s="92" t="s">
        <v>26</v>
      </c>
      <c r="F290" s="92">
        <v>102</v>
      </c>
      <c r="G290" s="87" t="s">
        <v>72</v>
      </c>
      <c r="H290" s="93">
        <v>2.2999999999999998</v>
      </c>
      <c r="I290" s="4">
        <v>52</v>
      </c>
      <c r="J290" s="4">
        <f>43+2</f>
        <v>45</v>
      </c>
      <c r="K290" s="4">
        <v>2.2999999999999998</v>
      </c>
      <c r="L290" s="93"/>
      <c r="M290" s="114" t="s">
        <v>115</v>
      </c>
      <c r="N290" s="88" t="s">
        <v>209</v>
      </c>
      <c r="O290" s="89">
        <v>43834</v>
      </c>
      <c r="P290" s="92" t="s">
        <v>63</v>
      </c>
      <c r="Q290" s="4" t="s">
        <v>36</v>
      </c>
      <c r="R290" s="163">
        <v>520</v>
      </c>
      <c r="S290" s="104"/>
      <c r="T290" s="22"/>
      <c r="U290" s="22"/>
      <c r="V290" s="91" t="s">
        <v>16</v>
      </c>
      <c r="X290"/>
      <c r="Y290" s="69"/>
      <c r="Z290"/>
      <c r="AA290" s="33"/>
    </row>
    <row r="291" spans="1:27" s="73" customFormat="1" ht="20.25" hidden="1" customHeight="1">
      <c r="A291" s="79">
        <v>248</v>
      </c>
      <c r="B291" s="92" t="s">
        <v>8</v>
      </c>
      <c r="C291" s="92">
        <v>3</v>
      </c>
      <c r="D291" s="92" t="s">
        <v>32</v>
      </c>
      <c r="E291" s="92" t="s">
        <v>26</v>
      </c>
      <c r="F291" s="92">
        <v>52</v>
      </c>
      <c r="G291" s="87" t="s">
        <v>79</v>
      </c>
      <c r="H291" s="93">
        <v>1.9</v>
      </c>
      <c r="I291" s="4">
        <v>73</v>
      </c>
      <c r="J291" s="4">
        <f>54+3</f>
        <v>57</v>
      </c>
      <c r="K291" s="4">
        <v>1.9</v>
      </c>
      <c r="L291" s="93"/>
      <c r="M291" s="114" t="s">
        <v>115</v>
      </c>
      <c r="N291" s="88" t="s">
        <v>209</v>
      </c>
      <c r="O291" s="89">
        <v>43834</v>
      </c>
      <c r="P291" s="92" t="s">
        <v>64</v>
      </c>
      <c r="Q291" s="78" t="s">
        <v>241</v>
      </c>
      <c r="R291" s="163">
        <v>801</v>
      </c>
      <c r="S291" s="104"/>
      <c r="T291" s="22"/>
      <c r="U291" s="22"/>
      <c r="V291" s="91" t="s">
        <v>36</v>
      </c>
      <c r="X291"/>
      <c r="Y291" s="69"/>
      <c r="Z291"/>
      <c r="AA291" s="33"/>
    </row>
    <row r="292" spans="1:27" s="73" customFormat="1" ht="20.25" hidden="1" customHeight="1">
      <c r="A292" s="79">
        <v>249</v>
      </c>
      <c r="B292" s="92" t="s">
        <v>8</v>
      </c>
      <c r="C292" s="92">
        <v>4</v>
      </c>
      <c r="D292" s="92" t="s">
        <v>32</v>
      </c>
      <c r="E292" s="92" t="s">
        <v>26</v>
      </c>
      <c r="F292" s="92">
        <v>76</v>
      </c>
      <c r="G292" s="87" t="s">
        <v>72</v>
      </c>
      <c r="H292" s="93">
        <v>2.6</v>
      </c>
      <c r="I292" s="4">
        <v>56</v>
      </c>
      <c r="J292" s="4">
        <f>47+2</f>
        <v>49</v>
      </c>
      <c r="K292" s="103">
        <v>2.6</v>
      </c>
      <c r="L292" s="93"/>
      <c r="M292" s="114" t="s">
        <v>115</v>
      </c>
      <c r="N292" s="88" t="s">
        <v>209</v>
      </c>
      <c r="O292" s="89">
        <v>43834</v>
      </c>
      <c r="P292" s="92" t="s">
        <v>63</v>
      </c>
      <c r="Q292" s="78" t="s">
        <v>36</v>
      </c>
      <c r="R292" s="163">
        <v>472</v>
      </c>
      <c r="S292" s="104"/>
      <c r="T292" s="22"/>
      <c r="U292" s="22"/>
      <c r="V292" s="91"/>
      <c r="X292"/>
      <c r="Y292" s="69"/>
      <c r="Z292"/>
      <c r="AA292" s="33"/>
    </row>
    <row r="293" spans="1:27" s="73" customFormat="1" ht="20.25" hidden="1" customHeight="1">
      <c r="A293" s="79">
        <v>250</v>
      </c>
      <c r="B293" s="92" t="s">
        <v>8</v>
      </c>
      <c r="C293" s="92">
        <v>4</v>
      </c>
      <c r="D293" s="92" t="s">
        <v>32</v>
      </c>
      <c r="E293" s="92" t="s">
        <v>26</v>
      </c>
      <c r="F293" s="92">
        <v>86</v>
      </c>
      <c r="G293" s="87" t="s">
        <v>79</v>
      </c>
      <c r="H293" s="93">
        <v>7.3</v>
      </c>
      <c r="I293" s="4">
        <v>99</v>
      </c>
      <c r="J293" s="4">
        <f>79+6</f>
        <v>85</v>
      </c>
      <c r="K293" s="103">
        <v>7.3</v>
      </c>
      <c r="L293" s="93"/>
      <c r="M293" s="114" t="s">
        <v>115</v>
      </c>
      <c r="N293" s="88" t="s">
        <v>209</v>
      </c>
      <c r="O293" s="89">
        <v>43834</v>
      </c>
      <c r="P293" s="92" t="s">
        <v>63</v>
      </c>
      <c r="Q293" s="78" t="s">
        <v>36</v>
      </c>
      <c r="R293" s="163">
        <v>1626</v>
      </c>
      <c r="S293" s="104"/>
      <c r="T293" s="22"/>
      <c r="U293" s="22"/>
      <c r="V293" s="91"/>
      <c r="X293"/>
      <c r="Y293" s="69"/>
      <c r="Z293"/>
      <c r="AA293" s="33"/>
    </row>
    <row r="294" spans="1:27" s="73" customFormat="1" ht="20.25" hidden="1" customHeight="1">
      <c r="A294" s="79">
        <v>251</v>
      </c>
      <c r="B294" s="92" t="s">
        <v>8</v>
      </c>
      <c r="C294" s="92">
        <v>4</v>
      </c>
      <c r="D294" s="92" t="s">
        <v>32</v>
      </c>
      <c r="E294" s="92" t="s">
        <v>26</v>
      </c>
      <c r="F294" s="92">
        <v>88</v>
      </c>
      <c r="G294" s="87" t="s">
        <v>72</v>
      </c>
      <c r="H294" s="93">
        <v>3</v>
      </c>
      <c r="I294" s="4">
        <v>63</v>
      </c>
      <c r="J294" s="4">
        <f>55+4</f>
        <v>59</v>
      </c>
      <c r="K294" s="103">
        <v>3</v>
      </c>
      <c r="L294" s="93"/>
      <c r="M294" s="114" t="s">
        <v>115</v>
      </c>
      <c r="N294" s="88" t="s">
        <v>209</v>
      </c>
      <c r="O294" s="89">
        <v>43834</v>
      </c>
      <c r="P294" s="92" t="s">
        <v>63</v>
      </c>
      <c r="Q294" s="78" t="s">
        <v>36</v>
      </c>
      <c r="R294" s="163">
        <v>2641</v>
      </c>
      <c r="S294" s="104"/>
      <c r="T294" s="22"/>
      <c r="U294" s="22"/>
      <c r="V294" s="91"/>
      <c r="X294"/>
      <c r="Y294" s="69"/>
      <c r="Z294"/>
      <c r="AA294" s="33"/>
    </row>
    <row r="295" spans="1:27" s="73" customFormat="1" ht="20.25" hidden="1" customHeight="1">
      <c r="A295" s="79">
        <v>252</v>
      </c>
      <c r="B295" s="92" t="s">
        <v>8</v>
      </c>
      <c r="C295" s="92">
        <v>4</v>
      </c>
      <c r="D295" s="92" t="s">
        <v>32</v>
      </c>
      <c r="E295" s="92" t="s">
        <v>26</v>
      </c>
      <c r="F295" s="92">
        <v>76</v>
      </c>
      <c r="G295" s="87" t="s">
        <v>74</v>
      </c>
      <c r="H295" s="93">
        <v>5.8</v>
      </c>
      <c r="I295" s="4">
        <v>155</v>
      </c>
      <c r="J295" s="4">
        <f>132+9</f>
        <v>141</v>
      </c>
      <c r="K295" s="103">
        <v>5.8</v>
      </c>
      <c r="L295" s="93"/>
      <c r="M295" s="114" t="s">
        <v>115</v>
      </c>
      <c r="N295" s="88" t="s">
        <v>209</v>
      </c>
      <c r="O295" s="89">
        <v>43834</v>
      </c>
      <c r="P295" s="92" t="s">
        <v>63</v>
      </c>
      <c r="Q295" s="78" t="s">
        <v>36</v>
      </c>
      <c r="R295" s="163">
        <v>10574</v>
      </c>
      <c r="S295" s="104"/>
      <c r="T295" s="22"/>
      <c r="U295" s="22"/>
      <c r="V295" s="91"/>
      <c r="X295"/>
      <c r="Y295" s="69"/>
      <c r="Z295"/>
      <c r="AA295" s="33"/>
    </row>
    <row r="296" spans="1:27" s="73" customFormat="1" ht="20.25" customHeight="1">
      <c r="A296" s="79"/>
      <c r="B296" s="447" t="s">
        <v>8</v>
      </c>
      <c r="C296" s="448"/>
      <c r="D296" s="92" t="s">
        <v>286</v>
      </c>
      <c r="E296" s="92"/>
      <c r="F296" s="92"/>
      <c r="G296" s="87"/>
      <c r="H296" s="93"/>
      <c r="I296" s="4"/>
      <c r="J296" s="163">
        <f>J286+J287+J288</f>
        <v>617</v>
      </c>
      <c r="K296" s="103"/>
      <c r="L296" s="93"/>
      <c r="M296" s="114"/>
      <c r="N296" s="88"/>
      <c r="O296" s="89"/>
      <c r="P296" s="92" t="s">
        <v>63</v>
      </c>
      <c r="Q296" s="78" t="s">
        <v>36</v>
      </c>
      <c r="R296" s="163">
        <f>R286+R287+R288</f>
        <v>27831</v>
      </c>
      <c r="S296" s="104"/>
      <c r="T296" s="22"/>
      <c r="U296" s="22"/>
      <c r="V296" s="91"/>
      <c r="X296"/>
      <c r="Y296" s="69"/>
      <c r="Z296"/>
      <c r="AA296" s="33"/>
    </row>
    <row r="297" spans="1:27" s="73" customFormat="1" ht="20.25" customHeight="1">
      <c r="A297" s="79"/>
      <c r="B297" s="449"/>
      <c r="C297" s="450"/>
      <c r="D297" s="443" t="s">
        <v>284</v>
      </c>
      <c r="E297" s="92"/>
      <c r="F297" s="92"/>
      <c r="G297" s="87"/>
      <c r="H297" s="93"/>
      <c r="I297" s="4"/>
      <c r="J297" s="163">
        <f>J289+J290+J292+J293+J294+J295</f>
        <v>434</v>
      </c>
      <c r="K297" s="103"/>
      <c r="L297" s="93"/>
      <c r="M297" s="114"/>
      <c r="N297" s="88"/>
      <c r="O297" s="89"/>
      <c r="P297" s="92" t="s">
        <v>63</v>
      </c>
      <c r="Q297" s="78" t="s">
        <v>36</v>
      </c>
      <c r="R297" s="163">
        <f>R289+R290+R292+R293+R294+R295</f>
        <v>17279</v>
      </c>
      <c r="S297" s="104"/>
      <c r="T297" s="22"/>
      <c r="U297" s="22"/>
      <c r="V297" s="91"/>
      <c r="X297"/>
      <c r="Y297" s="69"/>
      <c r="Z297"/>
      <c r="AA297" s="33"/>
    </row>
    <row r="298" spans="1:27" s="73" customFormat="1" ht="20.25" customHeight="1">
      <c r="A298" s="79"/>
      <c r="B298" s="451"/>
      <c r="C298" s="452"/>
      <c r="D298" s="444"/>
      <c r="E298" s="92"/>
      <c r="F298" s="92"/>
      <c r="G298" s="87"/>
      <c r="H298" s="93"/>
      <c r="I298" s="4"/>
      <c r="J298" s="163">
        <f>J291</f>
        <v>57</v>
      </c>
      <c r="K298" s="103"/>
      <c r="L298" s="93"/>
      <c r="M298" s="114"/>
      <c r="N298" s="88"/>
      <c r="O298" s="89"/>
      <c r="P298" s="92" t="s">
        <v>64</v>
      </c>
      <c r="Q298" s="78" t="s">
        <v>241</v>
      </c>
      <c r="R298" s="163">
        <f>R291</f>
        <v>801</v>
      </c>
      <c r="S298" s="104"/>
      <c r="T298" s="22"/>
      <c r="U298" s="22"/>
      <c r="V298" s="91"/>
      <c r="X298"/>
      <c r="Y298" s="69"/>
      <c r="Z298"/>
      <c r="AA298" s="33"/>
    </row>
    <row r="299" spans="1:27" s="73" customFormat="1" ht="30" hidden="1">
      <c r="A299" s="79">
        <v>253</v>
      </c>
      <c r="B299" s="92" t="s">
        <v>13</v>
      </c>
      <c r="C299" s="92">
        <v>2</v>
      </c>
      <c r="D299" s="92" t="s">
        <v>31</v>
      </c>
      <c r="E299" s="92" t="s">
        <v>28</v>
      </c>
      <c r="F299" s="92">
        <v>14</v>
      </c>
      <c r="G299" s="87" t="s">
        <v>162</v>
      </c>
      <c r="H299" s="93">
        <v>1.2</v>
      </c>
      <c r="I299" s="4">
        <v>5</v>
      </c>
      <c r="J299" s="4"/>
      <c r="K299" s="93">
        <v>1.2</v>
      </c>
      <c r="L299" s="4"/>
      <c r="M299" s="114" t="s">
        <v>115</v>
      </c>
      <c r="N299" s="88" t="s">
        <v>210</v>
      </c>
      <c r="O299" s="89">
        <v>43834</v>
      </c>
      <c r="P299" s="92" t="s">
        <v>64</v>
      </c>
      <c r="Q299" s="78" t="s">
        <v>242</v>
      </c>
      <c r="R299" s="163"/>
      <c r="S299" s="104"/>
      <c r="T299" s="22"/>
      <c r="U299" s="22"/>
      <c r="V299" s="91" t="s">
        <v>56</v>
      </c>
      <c r="X299"/>
      <c r="Y299" s="69"/>
      <c r="Z299"/>
      <c r="AA299" s="33"/>
    </row>
    <row r="300" spans="1:27" s="73" customFormat="1" ht="30" hidden="1">
      <c r="A300" s="79">
        <v>254</v>
      </c>
      <c r="B300" s="92" t="s">
        <v>13</v>
      </c>
      <c r="C300" s="92">
        <v>2</v>
      </c>
      <c r="D300" s="92" t="s">
        <v>31</v>
      </c>
      <c r="E300" s="92" t="s">
        <v>28</v>
      </c>
      <c r="F300" s="92">
        <v>8</v>
      </c>
      <c r="G300" s="87" t="s">
        <v>88</v>
      </c>
      <c r="H300" s="93">
        <v>1.4</v>
      </c>
      <c r="I300" s="4">
        <v>6</v>
      </c>
      <c r="J300" s="4"/>
      <c r="K300" s="93">
        <v>1.4</v>
      </c>
      <c r="L300" s="4"/>
      <c r="M300" s="114" t="s">
        <v>115</v>
      </c>
      <c r="N300" s="88" t="s">
        <v>210</v>
      </c>
      <c r="O300" s="89">
        <v>43834</v>
      </c>
      <c r="P300" s="92" t="s">
        <v>62</v>
      </c>
      <c r="Q300" s="78" t="s">
        <v>243</v>
      </c>
      <c r="R300" s="163"/>
      <c r="S300" s="104"/>
      <c r="T300" s="22"/>
      <c r="U300" s="22"/>
      <c r="V300" s="91" t="s">
        <v>56</v>
      </c>
      <c r="X300"/>
      <c r="Y300" s="69"/>
      <c r="Z300"/>
      <c r="AA300" s="33"/>
    </row>
    <row r="301" spans="1:27" s="73" customFormat="1" ht="30" hidden="1">
      <c r="A301" s="79">
        <v>255</v>
      </c>
      <c r="B301" s="92" t="s">
        <v>13</v>
      </c>
      <c r="C301" s="92">
        <v>2</v>
      </c>
      <c r="D301" s="92" t="s">
        <v>31</v>
      </c>
      <c r="E301" s="92" t="s">
        <v>28</v>
      </c>
      <c r="F301" s="92">
        <v>8</v>
      </c>
      <c r="G301" s="87" t="s">
        <v>95</v>
      </c>
      <c r="H301" s="93">
        <v>0.5</v>
      </c>
      <c r="I301" s="4">
        <v>4</v>
      </c>
      <c r="J301" s="4"/>
      <c r="K301" s="93">
        <v>0.5</v>
      </c>
      <c r="L301" s="4"/>
      <c r="M301" s="114" t="s">
        <v>115</v>
      </c>
      <c r="N301" s="88" t="s">
        <v>210</v>
      </c>
      <c r="O301" s="89">
        <v>43834</v>
      </c>
      <c r="P301" s="92" t="s">
        <v>62</v>
      </c>
      <c r="Q301" s="78" t="s">
        <v>243</v>
      </c>
      <c r="R301" s="163"/>
      <c r="S301" s="104"/>
      <c r="T301" s="22"/>
      <c r="U301" s="22"/>
      <c r="V301" s="91" t="s">
        <v>37</v>
      </c>
      <c r="X301"/>
      <c r="Y301" s="69"/>
      <c r="Z301"/>
      <c r="AA301" s="33"/>
    </row>
    <row r="302" spans="1:27" s="73" customFormat="1" ht="30" hidden="1">
      <c r="A302" s="79">
        <v>256</v>
      </c>
      <c r="B302" s="92" t="s">
        <v>13</v>
      </c>
      <c r="C302" s="92">
        <v>2</v>
      </c>
      <c r="D302" s="92" t="s">
        <v>31</v>
      </c>
      <c r="E302" s="92" t="s">
        <v>28</v>
      </c>
      <c r="F302" s="92">
        <v>8</v>
      </c>
      <c r="G302" s="87" t="s">
        <v>94</v>
      </c>
      <c r="H302" s="93">
        <v>0.7</v>
      </c>
      <c r="I302" s="4">
        <v>21</v>
      </c>
      <c r="J302" s="4"/>
      <c r="K302" s="93">
        <v>0.7</v>
      </c>
      <c r="L302" s="4"/>
      <c r="M302" s="114" t="s">
        <v>115</v>
      </c>
      <c r="N302" s="88" t="s">
        <v>210</v>
      </c>
      <c r="O302" s="89">
        <v>43834</v>
      </c>
      <c r="P302" s="92" t="s">
        <v>62</v>
      </c>
      <c r="Q302" s="78" t="s">
        <v>243</v>
      </c>
      <c r="R302" s="163"/>
      <c r="S302" s="104"/>
      <c r="T302" s="22"/>
      <c r="U302" s="22"/>
      <c r="V302" s="91" t="s">
        <v>37</v>
      </c>
      <c r="X302"/>
      <c r="Y302" s="69"/>
      <c r="Z302"/>
      <c r="AA302" s="33"/>
    </row>
    <row r="303" spans="1:27" s="73" customFormat="1" ht="30" hidden="1">
      <c r="A303" s="79">
        <v>257</v>
      </c>
      <c r="B303" s="92" t="s">
        <v>13</v>
      </c>
      <c r="C303" s="92">
        <v>2</v>
      </c>
      <c r="D303" s="92" t="s">
        <v>23</v>
      </c>
      <c r="E303" s="92" t="s">
        <v>26</v>
      </c>
      <c r="F303" s="92">
        <v>14</v>
      </c>
      <c r="G303" s="87" t="s">
        <v>81</v>
      </c>
      <c r="H303" s="93">
        <v>1</v>
      </c>
      <c r="I303" s="4">
        <v>14</v>
      </c>
      <c r="J303" s="4">
        <v>7</v>
      </c>
      <c r="K303" s="93">
        <v>1</v>
      </c>
      <c r="L303" s="4"/>
      <c r="M303" s="114" t="s">
        <v>115</v>
      </c>
      <c r="N303" s="88" t="s">
        <v>211</v>
      </c>
      <c r="O303" s="89">
        <v>43834</v>
      </c>
      <c r="P303" s="92" t="s">
        <v>62</v>
      </c>
      <c r="Q303" s="78" t="s">
        <v>242</v>
      </c>
      <c r="R303" s="163"/>
      <c r="S303" s="104"/>
      <c r="T303" s="22"/>
      <c r="U303" s="22"/>
      <c r="V303" s="91" t="s">
        <v>37</v>
      </c>
      <c r="X303"/>
      <c r="Y303" s="69"/>
      <c r="Z303"/>
      <c r="AA303" s="33"/>
    </row>
    <row r="304" spans="1:27" s="73" customFormat="1" ht="30" hidden="1">
      <c r="A304" s="79">
        <v>258</v>
      </c>
      <c r="B304" s="92" t="s">
        <v>13</v>
      </c>
      <c r="C304" s="92">
        <v>2</v>
      </c>
      <c r="D304" s="92" t="s">
        <v>23</v>
      </c>
      <c r="E304" s="92" t="s">
        <v>129</v>
      </c>
      <c r="F304" s="92">
        <v>8</v>
      </c>
      <c r="G304" s="87" t="s">
        <v>74</v>
      </c>
      <c r="H304" s="93">
        <v>2.2000000000000002</v>
      </c>
      <c r="I304" s="4">
        <v>10</v>
      </c>
      <c r="J304" s="4"/>
      <c r="K304" s="93">
        <v>2.2000000000000002</v>
      </c>
      <c r="L304" s="4"/>
      <c r="M304" s="114" t="s">
        <v>115</v>
      </c>
      <c r="N304" s="88" t="s">
        <v>211</v>
      </c>
      <c r="O304" s="89">
        <v>43834</v>
      </c>
      <c r="P304" s="92" t="s">
        <v>64</v>
      </c>
      <c r="Q304" s="78" t="s">
        <v>243</v>
      </c>
      <c r="R304" s="163"/>
      <c r="S304" s="104"/>
      <c r="T304" s="22"/>
      <c r="U304" s="22"/>
      <c r="V304" s="91" t="s">
        <v>37</v>
      </c>
      <c r="X304"/>
      <c r="Y304" s="69"/>
      <c r="Z304"/>
      <c r="AA304" s="33"/>
    </row>
    <row r="305" spans="1:27" s="73" customFormat="1" ht="30" hidden="1">
      <c r="A305" s="79">
        <v>259</v>
      </c>
      <c r="B305" s="92" t="s">
        <v>13</v>
      </c>
      <c r="C305" s="92">
        <v>2</v>
      </c>
      <c r="D305" s="92" t="s">
        <v>23</v>
      </c>
      <c r="E305" s="92" t="s">
        <v>28</v>
      </c>
      <c r="F305" s="92">
        <v>8</v>
      </c>
      <c r="G305" s="87" t="s">
        <v>79</v>
      </c>
      <c r="H305" s="93">
        <v>1.3</v>
      </c>
      <c r="I305" s="4">
        <v>4</v>
      </c>
      <c r="J305" s="4"/>
      <c r="K305" s="93">
        <v>1.3</v>
      </c>
      <c r="L305" s="4"/>
      <c r="M305" s="114" t="s">
        <v>115</v>
      </c>
      <c r="N305" s="88" t="s">
        <v>211</v>
      </c>
      <c r="O305" s="89">
        <v>43834</v>
      </c>
      <c r="P305" s="92" t="s">
        <v>64</v>
      </c>
      <c r="Q305" s="78" t="s">
        <v>243</v>
      </c>
      <c r="R305" s="163"/>
      <c r="S305" s="104"/>
      <c r="T305" s="22"/>
      <c r="U305" s="22"/>
      <c r="V305" s="91" t="s">
        <v>37</v>
      </c>
      <c r="X305"/>
      <c r="Y305" s="69"/>
      <c r="Z305"/>
      <c r="AA305" s="33"/>
    </row>
    <row r="306" spans="1:27" s="73" customFormat="1" ht="30" hidden="1">
      <c r="A306" s="79">
        <v>260</v>
      </c>
      <c r="B306" s="92" t="s">
        <v>13</v>
      </c>
      <c r="C306" s="92">
        <v>2</v>
      </c>
      <c r="D306" s="92" t="s">
        <v>32</v>
      </c>
      <c r="E306" s="92" t="s">
        <v>28</v>
      </c>
      <c r="F306" s="92">
        <v>3</v>
      </c>
      <c r="G306" s="87" t="s">
        <v>81</v>
      </c>
      <c r="H306" s="93">
        <v>8.4</v>
      </c>
      <c r="I306" s="4">
        <v>160</v>
      </c>
      <c r="J306" s="4">
        <f>140+5</f>
        <v>145</v>
      </c>
      <c r="K306" s="93">
        <v>8.4</v>
      </c>
      <c r="L306" s="4"/>
      <c r="M306" s="114" t="s">
        <v>115</v>
      </c>
      <c r="N306" s="88" t="s">
        <v>212</v>
      </c>
      <c r="O306" s="89">
        <v>43834</v>
      </c>
      <c r="P306" s="92" t="s">
        <v>64</v>
      </c>
      <c r="Q306" s="78" t="s">
        <v>243</v>
      </c>
      <c r="R306" s="163">
        <v>1671</v>
      </c>
      <c r="S306" s="104"/>
      <c r="T306" s="22"/>
      <c r="U306" s="22"/>
      <c r="V306" s="91" t="s">
        <v>37</v>
      </c>
      <c r="X306"/>
      <c r="Y306" s="69"/>
      <c r="Z306"/>
      <c r="AA306" s="33"/>
    </row>
    <row r="307" spans="1:27" s="73" customFormat="1" ht="30" hidden="1">
      <c r="A307" s="79">
        <v>261</v>
      </c>
      <c r="B307" s="92" t="s">
        <v>13</v>
      </c>
      <c r="C307" s="92">
        <v>2</v>
      </c>
      <c r="D307" s="92" t="s">
        <v>32</v>
      </c>
      <c r="E307" s="92" t="s">
        <v>28</v>
      </c>
      <c r="F307" s="92">
        <v>4</v>
      </c>
      <c r="G307" s="87" t="s">
        <v>77</v>
      </c>
      <c r="H307" s="93">
        <v>7.1</v>
      </c>
      <c r="I307" s="19">
        <v>151</v>
      </c>
      <c r="J307" s="4">
        <f>119+2</f>
        <v>121</v>
      </c>
      <c r="K307" s="93">
        <v>7.1</v>
      </c>
      <c r="L307" s="4"/>
      <c r="M307" s="114" t="s">
        <v>115</v>
      </c>
      <c r="N307" s="88" t="s">
        <v>212</v>
      </c>
      <c r="O307" s="89">
        <v>43834</v>
      </c>
      <c r="P307" s="92" t="s">
        <v>64</v>
      </c>
      <c r="Q307" s="78" t="s">
        <v>243</v>
      </c>
      <c r="R307" s="163">
        <v>2643</v>
      </c>
      <c r="S307" s="104"/>
      <c r="T307" s="22"/>
      <c r="U307" s="22"/>
      <c r="V307" s="91" t="s">
        <v>56</v>
      </c>
      <c r="X307"/>
      <c r="Y307" s="69"/>
      <c r="Z307"/>
      <c r="AA307" s="33"/>
    </row>
    <row r="308" spans="1:27" s="73" customFormat="1" ht="30" hidden="1">
      <c r="A308" s="79">
        <v>262</v>
      </c>
      <c r="B308" s="92" t="s">
        <v>13</v>
      </c>
      <c r="C308" s="92">
        <v>2</v>
      </c>
      <c r="D308" s="92" t="s">
        <v>32</v>
      </c>
      <c r="E308" s="92" t="s">
        <v>26</v>
      </c>
      <c r="F308" s="92">
        <v>2</v>
      </c>
      <c r="G308" s="87" t="s">
        <v>72</v>
      </c>
      <c r="H308" s="93">
        <v>5.2</v>
      </c>
      <c r="I308" s="19">
        <v>65</v>
      </c>
      <c r="J308" s="4">
        <f>40+3</f>
        <v>43</v>
      </c>
      <c r="K308" s="93">
        <v>5.2</v>
      </c>
      <c r="L308" s="4"/>
      <c r="M308" s="114" t="s">
        <v>115</v>
      </c>
      <c r="N308" s="88" t="s">
        <v>212</v>
      </c>
      <c r="O308" s="89">
        <v>43834</v>
      </c>
      <c r="P308" s="92" t="s">
        <v>64</v>
      </c>
      <c r="Q308" s="78" t="s">
        <v>243</v>
      </c>
      <c r="R308" s="163">
        <v>573</v>
      </c>
      <c r="S308" s="104"/>
      <c r="T308" s="22"/>
      <c r="U308" s="22"/>
      <c r="V308" s="91" t="s">
        <v>56</v>
      </c>
      <c r="X308"/>
      <c r="Y308" s="69"/>
      <c r="Z308"/>
      <c r="AA308" s="33"/>
    </row>
    <row r="309" spans="1:27" s="73" customFormat="1" ht="30" hidden="1">
      <c r="A309" s="79">
        <v>263</v>
      </c>
      <c r="B309" s="92" t="s">
        <v>13</v>
      </c>
      <c r="C309" s="92">
        <v>2</v>
      </c>
      <c r="D309" s="92" t="s">
        <v>32</v>
      </c>
      <c r="E309" s="92" t="s">
        <v>28</v>
      </c>
      <c r="F309" s="92">
        <v>3</v>
      </c>
      <c r="G309" s="87" t="s">
        <v>74</v>
      </c>
      <c r="H309" s="93">
        <v>3.2</v>
      </c>
      <c r="I309" s="19">
        <v>32</v>
      </c>
      <c r="J309" s="4">
        <f>29+1</f>
        <v>30</v>
      </c>
      <c r="K309" s="93">
        <v>3.2</v>
      </c>
      <c r="L309" s="4"/>
      <c r="M309" s="114" t="s">
        <v>115</v>
      </c>
      <c r="N309" s="88" t="s">
        <v>212</v>
      </c>
      <c r="O309" s="89">
        <v>43834</v>
      </c>
      <c r="P309" s="92" t="s">
        <v>64</v>
      </c>
      <c r="Q309" s="78" t="s">
        <v>243</v>
      </c>
      <c r="R309" s="163">
        <v>1040</v>
      </c>
      <c r="S309" s="104"/>
      <c r="T309" s="22"/>
      <c r="U309" s="22"/>
      <c r="V309" s="91" t="s">
        <v>56</v>
      </c>
      <c r="X309"/>
      <c r="Y309" s="69"/>
      <c r="Z309"/>
      <c r="AA309" s="33"/>
    </row>
    <row r="310" spans="1:27" s="73" customFormat="1" ht="30" hidden="1">
      <c r="A310" s="79">
        <v>264</v>
      </c>
      <c r="B310" s="92" t="s">
        <v>13</v>
      </c>
      <c r="C310" s="92">
        <v>2</v>
      </c>
      <c r="D310" s="92" t="s">
        <v>32</v>
      </c>
      <c r="E310" s="92" t="s">
        <v>28</v>
      </c>
      <c r="F310" s="92">
        <v>5</v>
      </c>
      <c r="G310" s="87" t="s">
        <v>71</v>
      </c>
      <c r="H310" s="93">
        <v>9.3000000000000007</v>
      </c>
      <c r="I310" s="19">
        <v>98</v>
      </c>
      <c r="J310" s="4">
        <f>82+3</f>
        <v>85</v>
      </c>
      <c r="K310" s="93">
        <v>9.3000000000000007</v>
      </c>
      <c r="L310" s="4"/>
      <c r="M310" s="114" t="s">
        <v>115</v>
      </c>
      <c r="N310" s="88" t="s">
        <v>212</v>
      </c>
      <c r="O310" s="89">
        <v>43834</v>
      </c>
      <c r="P310" s="92" t="s">
        <v>64</v>
      </c>
      <c r="Q310" s="78" t="s">
        <v>243</v>
      </c>
      <c r="R310" s="163">
        <v>1500</v>
      </c>
      <c r="S310" s="104"/>
      <c r="T310" s="22"/>
      <c r="U310" s="22"/>
      <c r="V310" s="91" t="s">
        <v>56</v>
      </c>
      <c r="X310"/>
      <c r="Y310" s="69"/>
      <c r="Z310"/>
      <c r="AA310" s="33"/>
    </row>
    <row r="311" spans="1:27" s="73" customFormat="1" ht="30" hidden="1">
      <c r="A311" s="79">
        <v>265</v>
      </c>
      <c r="B311" s="92" t="s">
        <v>13</v>
      </c>
      <c r="C311" s="92">
        <v>2</v>
      </c>
      <c r="D311" s="92" t="s">
        <v>32</v>
      </c>
      <c r="E311" s="92" t="s">
        <v>28</v>
      </c>
      <c r="F311" s="92">
        <v>5</v>
      </c>
      <c r="G311" s="87" t="s">
        <v>74</v>
      </c>
      <c r="H311" s="93">
        <v>4</v>
      </c>
      <c r="I311" s="19">
        <v>46</v>
      </c>
      <c r="J311" s="4">
        <f>41+1</f>
        <v>42</v>
      </c>
      <c r="K311" s="93">
        <v>4</v>
      </c>
      <c r="L311" s="4"/>
      <c r="M311" s="114" t="s">
        <v>115</v>
      </c>
      <c r="N311" s="88" t="s">
        <v>212</v>
      </c>
      <c r="O311" s="89">
        <v>43834</v>
      </c>
      <c r="P311" s="92" t="s">
        <v>64</v>
      </c>
      <c r="Q311" s="78" t="s">
        <v>243</v>
      </c>
      <c r="R311" s="163">
        <v>758</v>
      </c>
      <c r="S311" s="104"/>
      <c r="T311" s="22"/>
      <c r="U311" s="22"/>
      <c r="V311" s="91" t="s">
        <v>37</v>
      </c>
      <c r="X311"/>
      <c r="Y311" s="69"/>
      <c r="Z311"/>
      <c r="AA311" s="33"/>
    </row>
    <row r="312" spans="1:27" s="73" customFormat="1" ht="30" hidden="1">
      <c r="A312" s="79">
        <v>266</v>
      </c>
      <c r="B312" s="92" t="s">
        <v>13</v>
      </c>
      <c r="C312" s="92">
        <v>2</v>
      </c>
      <c r="D312" s="92" t="s">
        <v>32</v>
      </c>
      <c r="E312" s="92" t="s">
        <v>26</v>
      </c>
      <c r="F312" s="92">
        <v>5</v>
      </c>
      <c r="G312" s="87" t="s">
        <v>86</v>
      </c>
      <c r="H312" s="93">
        <v>2.2999999999999998</v>
      </c>
      <c r="I312" s="19">
        <v>34</v>
      </c>
      <c r="J312" s="4">
        <f>28+3</f>
        <v>31</v>
      </c>
      <c r="K312" s="93">
        <v>2.2999999999999998</v>
      </c>
      <c r="L312" s="4"/>
      <c r="M312" s="114" t="s">
        <v>115</v>
      </c>
      <c r="N312" s="88" t="s">
        <v>212</v>
      </c>
      <c r="O312" s="89">
        <v>43834</v>
      </c>
      <c r="P312" s="92" t="s">
        <v>64</v>
      </c>
      <c r="Q312" s="78" t="s">
        <v>243</v>
      </c>
      <c r="R312" s="163">
        <v>2233</v>
      </c>
      <c r="S312" s="104"/>
      <c r="T312" s="22"/>
      <c r="U312" s="22"/>
      <c r="V312" s="91" t="s">
        <v>37</v>
      </c>
      <c r="X312"/>
      <c r="Y312" s="69"/>
      <c r="Z312"/>
      <c r="AA312" s="33"/>
    </row>
    <row r="313" spans="1:27" s="73" customFormat="1" ht="30" hidden="1">
      <c r="A313" s="79">
        <v>267</v>
      </c>
      <c r="B313" s="92" t="s">
        <v>13</v>
      </c>
      <c r="C313" s="92">
        <v>2</v>
      </c>
      <c r="D313" s="92" t="s">
        <v>32</v>
      </c>
      <c r="E313" s="92" t="s">
        <v>28</v>
      </c>
      <c r="F313" s="92">
        <v>13</v>
      </c>
      <c r="G313" s="87" t="s">
        <v>69</v>
      </c>
      <c r="H313" s="93">
        <v>1.7</v>
      </c>
      <c r="I313" s="19">
        <v>61</v>
      </c>
      <c r="J313" s="4">
        <f>52+1</f>
        <v>53</v>
      </c>
      <c r="K313" s="93">
        <v>1.7</v>
      </c>
      <c r="L313" s="4"/>
      <c r="M313" s="114" t="s">
        <v>115</v>
      </c>
      <c r="N313" s="88" t="s">
        <v>212</v>
      </c>
      <c r="O313" s="89">
        <v>43834</v>
      </c>
      <c r="P313" s="92" t="s">
        <v>64</v>
      </c>
      <c r="Q313" s="78" t="s">
        <v>42</v>
      </c>
      <c r="R313" s="163">
        <v>1862</v>
      </c>
      <c r="S313" s="104"/>
      <c r="T313" s="22"/>
      <c r="U313" s="22"/>
      <c r="V313" s="91" t="s">
        <v>37</v>
      </c>
      <c r="X313"/>
      <c r="Y313" s="69"/>
      <c r="Z313"/>
      <c r="AA313" s="33"/>
    </row>
    <row r="314" spans="1:27" s="73" customFormat="1" ht="30" hidden="1">
      <c r="A314" s="79">
        <v>268</v>
      </c>
      <c r="B314" s="92" t="s">
        <v>13</v>
      </c>
      <c r="C314" s="92">
        <v>2</v>
      </c>
      <c r="D314" s="92" t="s">
        <v>32</v>
      </c>
      <c r="E314" s="92" t="s">
        <v>28</v>
      </c>
      <c r="F314" s="92">
        <v>13</v>
      </c>
      <c r="G314" s="87" t="s">
        <v>68</v>
      </c>
      <c r="H314" s="93">
        <v>1.1000000000000001</v>
      </c>
      <c r="I314" s="19">
        <v>39</v>
      </c>
      <c r="J314" s="4">
        <f>31+1</f>
        <v>32</v>
      </c>
      <c r="K314" s="93">
        <v>1.1000000000000001</v>
      </c>
      <c r="L314" s="4"/>
      <c r="M314" s="114" t="s">
        <v>115</v>
      </c>
      <c r="N314" s="88" t="s">
        <v>212</v>
      </c>
      <c r="O314" s="89">
        <v>43834</v>
      </c>
      <c r="P314" s="92" t="s">
        <v>64</v>
      </c>
      <c r="Q314" s="78" t="s">
        <v>42</v>
      </c>
      <c r="R314" s="163">
        <v>862</v>
      </c>
      <c r="S314" s="104"/>
      <c r="T314" s="22"/>
      <c r="U314" s="22"/>
      <c r="V314" s="91"/>
      <c r="X314"/>
      <c r="Y314" s="69"/>
      <c r="Z314"/>
      <c r="AA314" s="33"/>
    </row>
    <row r="315" spans="1:27" s="73" customFormat="1" ht="30" hidden="1">
      <c r="A315" s="79">
        <v>269</v>
      </c>
      <c r="B315" s="92" t="s">
        <v>13</v>
      </c>
      <c r="C315" s="92">
        <v>2</v>
      </c>
      <c r="D315" s="92" t="s">
        <v>32</v>
      </c>
      <c r="E315" s="92" t="s">
        <v>28</v>
      </c>
      <c r="F315" s="92">
        <v>14</v>
      </c>
      <c r="G315" s="87" t="s">
        <v>80</v>
      </c>
      <c r="H315" s="93">
        <v>16.600000000000001</v>
      </c>
      <c r="I315" s="19">
        <v>544</v>
      </c>
      <c r="J315" s="4">
        <f>466+19</f>
        <v>485</v>
      </c>
      <c r="K315" s="93">
        <v>16.600000000000001</v>
      </c>
      <c r="L315" s="4"/>
      <c r="M315" s="114" t="s">
        <v>115</v>
      </c>
      <c r="N315" s="88" t="s">
        <v>212</v>
      </c>
      <c r="O315" s="89">
        <v>43834</v>
      </c>
      <c r="P315" s="92" t="s">
        <v>64</v>
      </c>
      <c r="Q315" s="78" t="s">
        <v>242</v>
      </c>
      <c r="R315" s="163">
        <v>16412</v>
      </c>
      <c r="S315" s="104"/>
      <c r="T315" s="22"/>
      <c r="U315" s="22"/>
      <c r="V315" s="91" t="s">
        <v>37</v>
      </c>
      <c r="X315"/>
      <c r="Y315" s="69"/>
      <c r="Z315"/>
      <c r="AA315" s="33"/>
    </row>
    <row r="316" spans="1:27" s="73" customFormat="1" ht="30" hidden="1">
      <c r="A316" s="79">
        <v>270</v>
      </c>
      <c r="B316" s="92" t="s">
        <v>13</v>
      </c>
      <c r="C316" s="92">
        <v>2</v>
      </c>
      <c r="D316" s="92" t="s">
        <v>32</v>
      </c>
      <c r="E316" s="92" t="s">
        <v>28</v>
      </c>
      <c r="F316" s="92">
        <v>14</v>
      </c>
      <c r="G316" s="87" t="s">
        <v>91</v>
      </c>
      <c r="H316" s="93">
        <v>3.2</v>
      </c>
      <c r="I316" s="4">
        <v>90</v>
      </c>
      <c r="J316" s="4">
        <f>78+2</f>
        <v>80</v>
      </c>
      <c r="K316" s="93">
        <v>3.2</v>
      </c>
      <c r="L316" s="4"/>
      <c r="M316" s="114" t="s">
        <v>115</v>
      </c>
      <c r="N316" s="88" t="s">
        <v>212</v>
      </c>
      <c r="O316" s="89">
        <v>43834</v>
      </c>
      <c r="P316" s="92" t="s">
        <v>64</v>
      </c>
      <c r="Q316" s="78" t="s">
        <v>242</v>
      </c>
      <c r="R316" s="163">
        <v>2350</v>
      </c>
      <c r="S316" s="104"/>
      <c r="T316" s="22"/>
      <c r="U316" s="22"/>
      <c r="V316" s="91" t="s">
        <v>56</v>
      </c>
      <c r="X316"/>
      <c r="Y316" s="69"/>
      <c r="Z316"/>
      <c r="AA316" s="33"/>
    </row>
    <row r="317" spans="1:27" s="73" customFormat="1" ht="30" hidden="1">
      <c r="A317" s="79">
        <v>271</v>
      </c>
      <c r="B317" s="92" t="s">
        <v>13</v>
      </c>
      <c r="C317" s="92">
        <v>2</v>
      </c>
      <c r="D317" s="92" t="s">
        <v>32</v>
      </c>
      <c r="E317" s="92" t="s">
        <v>28</v>
      </c>
      <c r="F317" s="92">
        <v>12</v>
      </c>
      <c r="G317" s="87" t="s">
        <v>79</v>
      </c>
      <c r="H317" s="93">
        <v>2.8</v>
      </c>
      <c r="I317" s="4">
        <v>80</v>
      </c>
      <c r="J317" s="4">
        <v>73</v>
      </c>
      <c r="K317" s="93">
        <v>2.8</v>
      </c>
      <c r="L317" s="4"/>
      <c r="M317" s="114" t="s">
        <v>115</v>
      </c>
      <c r="N317" s="88" t="s">
        <v>310</v>
      </c>
      <c r="O317" s="89">
        <v>43906</v>
      </c>
      <c r="P317" s="92" t="s">
        <v>64</v>
      </c>
      <c r="Q317" s="78" t="s">
        <v>42</v>
      </c>
      <c r="R317" s="163">
        <v>1488</v>
      </c>
      <c r="S317" s="104"/>
      <c r="T317" s="22"/>
      <c r="U317" s="22"/>
      <c r="V317" s="91"/>
      <c r="X317"/>
      <c r="Y317" s="69"/>
      <c r="Z317"/>
      <c r="AA317" s="33"/>
    </row>
    <row r="318" spans="1:27" s="73" customFormat="1" ht="30" hidden="1">
      <c r="A318" s="79">
        <v>272</v>
      </c>
      <c r="B318" s="92" t="s">
        <v>13</v>
      </c>
      <c r="C318" s="92">
        <v>2</v>
      </c>
      <c r="D318" s="92" t="s">
        <v>32</v>
      </c>
      <c r="E318" s="92" t="s">
        <v>28</v>
      </c>
      <c r="F318" s="92">
        <v>13</v>
      </c>
      <c r="G318" s="87" t="s">
        <v>312</v>
      </c>
      <c r="H318" s="93">
        <v>0.4</v>
      </c>
      <c r="I318" s="4">
        <v>8</v>
      </c>
      <c r="J318" s="4">
        <v>7</v>
      </c>
      <c r="K318" s="93">
        <v>0.4</v>
      </c>
      <c r="L318" s="4"/>
      <c r="M318" s="114" t="s">
        <v>115</v>
      </c>
      <c r="N318" s="88" t="s">
        <v>310</v>
      </c>
      <c r="O318" s="89">
        <v>43906</v>
      </c>
      <c r="P318" s="92" t="s">
        <v>64</v>
      </c>
      <c r="Q318" s="78" t="s">
        <v>42</v>
      </c>
      <c r="R318" s="163">
        <v>134</v>
      </c>
      <c r="S318" s="104"/>
      <c r="T318" s="22"/>
      <c r="U318" s="22"/>
      <c r="V318" s="91"/>
      <c r="X318"/>
      <c r="Y318" s="69"/>
      <c r="Z318"/>
      <c r="AA318" s="33"/>
    </row>
    <row r="319" spans="1:27" s="73" customFormat="1" ht="30" hidden="1">
      <c r="A319" s="79">
        <v>273</v>
      </c>
      <c r="B319" s="92" t="s">
        <v>13</v>
      </c>
      <c r="C319" s="92">
        <v>2</v>
      </c>
      <c r="D319" s="92" t="s">
        <v>32</v>
      </c>
      <c r="E319" s="92" t="s">
        <v>28</v>
      </c>
      <c r="F319" s="92">
        <v>14</v>
      </c>
      <c r="G319" s="87" t="s">
        <v>311</v>
      </c>
      <c r="H319" s="93">
        <v>13.6</v>
      </c>
      <c r="I319" s="4">
        <v>580</v>
      </c>
      <c r="J319" s="4">
        <v>521</v>
      </c>
      <c r="K319" s="93">
        <v>13.6</v>
      </c>
      <c r="L319" s="4"/>
      <c r="M319" s="114" t="s">
        <v>115</v>
      </c>
      <c r="N319" s="162" t="s">
        <v>310</v>
      </c>
      <c r="O319" s="89">
        <v>43906</v>
      </c>
      <c r="P319" s="92" t="s">
        <v>64</v>
      </c>
      <c r="Q319" s="78" t="s">
        <v>242</v>
      </c>
      <c r="R319" s="163">
        <v>20460</v>
      </c>
      <c r="S319" s="104"/>
      <c r="T319" s="22"/>
      <c r="U319" s="22"/>
      <c r="V319" s="91"/>
      <c r="X319"/>
      <c r="Y319" s="69"/>
      <c r="Z319"/>
      <c r="AA319" s="33"/>
    </row>
    <row r="320" spans="1:27" s="73" customFormat="1" ht="30" hidden="1">
      <c r="A320" s="79">
        <v>274</v>
      </c>
      <c r="B320" s="92" t="s">
        <v>13</v>
      </c>
      <c r="C320" s="92">
        <v>2</v>
      </c>
      <c r="D320" s="92" t="s">
        <v>247</v>
      </c>
      <c r="E320" s="92" t="s">
        <v>28</v>
      </c>
      <c r="F320" s="92">
        <v>13</v>
      </c>
      <c r="G320" s="87" t="s">
        <v>100</v>
      </c>
      <c r="H320" s="93">
        <v>0.5</v>
      </c>
      <c r="I320" s="4">
        <v>102</v>
      </c>
      <c r="J320" s="4">
        <v>94</v>
      </c>
      <c r="K320" s="93">
        <v>0.5</v>
      </c>
      <c r="L320" s="4"/>
      <c r="M320" s="114" t="s">
        <v>115</v>
      </c>
      <c r="N320" s="88" t="s">
        <v>257</v>
      </c>
      <c r="O320" s="89">
        <v>43860</v>
      </c>
      <c r="P320" s="92" t="s">
        <v>64</v>
      </c>
      <c r="Q320" s="78" t="s">
        <v>42</v>
      </c>
      <c r="R320" s="163">
        <v>15891</v>
      </c>
      <c r="S320" s="104"/>
      <c r="T320" s="22"/>
      <c r="U320" s="22"/>
      <c r="V320" s="91"/>
      <c r="X320"/>
      <c r="Y320" s="69"/>
      <c r="Z320"/>
      <c r="AA320" s="33"/>
    </row>
    <row r="321" spans="1:27" s="73" customFormat="1" ht="30" hidden="1">
      <c r="A321" s="79">
        <v>275</v>
      </c>
      <c r="B321" s="92" t="s">
        <v>13</v>
      </c>
      <c r="C321" s="92">
        <v>2</v>
      </c>
      <c r="D321" s="92" t="s">
        <v>247</v>
      </c>
      <c r="E321" s="92" t="s">
        <v>28</v>
      </c>
      <c r="F321" s="92">
        <v>14</v>
      </c>
      <c r="G321" s="87" t="s">
        <v>252</v>
      </c>
      <c r="H321" s="93">
        <v>0.3</v>
      </c>
      <c r="I321" s="4">
        <v>68</v>
      </c>
      <c r="J321" s="4">
        <v>61</v>
      </c>
      <c r="K321" s="93">
        <v>0.3</v>
      </c>
      <c r="L321" s="4"/>
      <c r="M321" s="114" t="s">
        <v>115</v>
      </c>
      <c r="N321" s="88" t="s">
        <v>257</v>
      </c>
      <c r="O321" s="89">
        <v>43860</v>
      </c>
      <c r="P321" s="92" t="s">
        <v>64</v>
      </c>
      <c r="Q321" s="78" t="s">
        <v>242</v>
      </c>
      <c r="R321" s="163">
        <v>4883</v>
      </c>
      <c r="S321" s="104"/>
      <c r="T321" s="22"/>
      <c r="U321" s="22"/>
      <c r="V321" s="91"/>
      <c r="X321"/>
      <c r="Y321" s="69"/>
      <c r="Z321"/>
      <c r="AA321" s="33"/>
    </row>
    <row r="322" spans="1:27" s="73" customFormat="1" ht="30" hidden="1">
      <c r="A322" s="79">
        <v>276</v>
      </c>
      <c r="B322" s="92" t="s">
        <v>13</v>
      </c>
      <c r="C322" s="92">
        <v>2</v>
      </c>
      <c r="D322" s="92" t="s">
        <v>247</v>
      </c>
      <c r="E322" s="92" t="s">
        <v>28</v>
      </c>
      <c r="F322" s="92">
        <v>14</v>
      </c>
      <c r="G322" s="87" t="s">
        <v>253</v>
      </c>
      <c r="H322" s="93">
        <v>0.4</v>
      </c>
      <c r="I322" s="4">
        <v>134</v>
      </c>
      <c r="J322" s="4">
        <v>123</v>
      </c>
      <c r="K322" s="93">
        <v>0.4</v>
      </c>
      <c r="L322" s="4"/>
      <c r="M322" s="114" t="s">
        <v>115</v>
      </c>
      <c r="N322" s="88" t="s">
        <v>257</v>
      </c>
      <c r="O322" s="89">
        <v>43860</v>
      </c>
      <c r="P322" s="92" t="s">
        <v>64</v>
      </c>
      <c r="Q322" s="78" t="s">
        <v>242</v>
      </c>
      <c r="R322" s="163">
        <v>14250</v>
      </c>
      <c r="S322" s="104"/>
      <c r="T322" s="22"/>
      <c r="U322" s="22"/>
      <c r="V322" s="91"/>
      <c r="X322"/>
      <c r="Y322" s="69"/>
      <c r="Z322"/>
      <c r="AA322" s="33"/>
    </row>
    <row r="323" spans="1:27" s="73" customFormat="1" ht="30" hidden="1">
      <c r="A323" s="79">
        <v>277</v>
      </c>
      <c r="B323" s="92" t="s">
        <v>13</v>
      </c>
      <c r="C323" s="92">
        <v>2</v>
      </c>
      <c r="D323" s="92" t="s">
        <v>247</v>
      </c>
      <c r="E323" s="92" t="s">
        <v>28</v>
      </c>
      <c r="F323" s="92">
        <v>6</v>
      </c>
      <c r="G323" s="87" t="s">
        <v>254</v>
      </c>
      <c r="H323" s="93">
        <v>0.2</v>
      </c>
      <c r="I323" s="4">
        <v>21</v>
      </c>
      <c r="J323" s="4">
        <v>20</v>
      </c>
      <c r="K323" s="93">
        <v>0.2</v>
      </c>
      <c r="L323" s="4"/>
      <c r="M323" s="114" t="s">
        <v>115</v>
      </c>
      <c r="N323" s="88" t="s">
        <v>257</v>
      </c>
      <c r="O323" s="89">
        <v>43860</v>
      </c>
      <c r="P323" s="92" t="s">
        <v>64</v>
      </c>
      <c r="Q323" s="78" t="s">
        <v>243</v>
      </c>
      <c r="R323" s="163">
        <v>3979</v>
      </c>
      <c r="S323" s="104"/>
      <c r="T323" s="22"/>
      <c r="U323" s="22"/>
      <c r="V323" s="91"/>
      <c r="X323"/>
      <c r="Y323" s="69"/>
      <c r="Z323"/>
      <c r="AA323" s="33"/>
    </row>
    <row r="324" spans="1:27" s="73" customFormat="1" ht="30" hidden="1">
      <c r="A324" s="79">
        <v>278</v>
      </c>
      <c r="B324" s="92" t="s">
        <v>13</v>
      </c>
      <c r="C324" s="92">
        <v>2</v>
      </c>
      <c r="D324" s="92" t="s">
        <v>247</v>
      </c>
      <c r="E324" s="92" t="s">
        <v>28</v>
      </c>
      <c r="F324" s="92">
        <v>9</v>
      </c>
      <c r="G324" s="87" t="s">
        <v>255</v>
      </c>
      <c r="H324" s="93">
        <v>0.4</v>
      </c>
      <c r="I324" s="4">
        <v>21</v>
      </c>
      <c r="J324" s="4">
        <v>19</v>
      </c>
      <c r="K324" s="93">
        <v>0.4</v>
      </c>
      <c r="L324" s="4"/>
      <c r="M324" s="114" t="s">
        <v>115</v>
      </c>
      <c r="N324" s="88" t="s">
        <v>257</v>
      </c>
      <c r="O324" s="89">
        <v>43860</v>
      </c>
      <c r="P324" s="92" t="s">
        <v>64</v>
      </c>
      <c r="Q324" s="78" t="s">
        <v>42</v>
      </c>
      <c r="R324" s="163">
        <v>3571</v>
      </c>
      <c r="S324" s="104"/>
      <c r="T324" s="22"/>
      <c r="U324" s="22"/>
      <c r="V324" s="91"/>
      <c r="X324"/>
      <c r="Y324" s="69"/>
      <c r="Z324"/>
      <c r="AA324" s="33"/>
    </row>
    <row r="325" spans="1:27" s="73" customFormat="1" ht="30" hidden="1">
      <c r="A325" s="79">
        <v>279</v>
      </c>
      <c r="B325" s="92" t="s">
        <v>13</v>
      </c>
      <c r="C325" s="92">
        <v>2</v>
      </c>
      <c r="D325" s="92" t="s">
        <v>247</v>
      </c>
      <c r="E325" s="92" t="s">
        <v>28</v>
      </c>
      <c r="F325" s="92">
        <v>14</v>
      </c>
      <c r="G325" s="87" t="s">
        <v>256</v>
      </c>
      <c r="H325" s="93">
        <v>0.4</v>
      </c>
      <c r="I325" s="4">
        <v>138</v>
      </c>
      <c r="J325" s="4">
        <v>127</v>
      </c>
      <c r="K325" s="93">
        <v>0.4</v>
      </c>
      <c r="L325" s="4"/>
      <c r="M325" s="114" t="s">
        <v>115</v>
      </c>
      <c r="N325" s="88" t="s">
        <v>257</v>
      </c>
      <c r="O325" s="89">
        <v>43860</v>
      </c>
      <c r="P325" s="92" t="s">
        <v>64</v>
      </c>
      <c r="Q325" s="78" t="s">
        <v>242</v>
      </c>
      <c r="R325" s="163">
        <v>3731</v>
      </c>
      <c r="S325" s="104"/>
      <c r="T325" s="22"/>
      <c r="U325" s="22"/>
      <c r="V325" s="91"/>
      <c r="X325"/>
      <c r="Y325" s="69"/>
      <c r="Z325"/>
      <c r="AA325" s="33"/>
    </row>
    <row r="326" spans="1:27" s="73" customFormat="1">
      <c r="A326" s="79"/>
      <c r="B326" s="447" t="s">
        <v>13</v>
      </c>
      <c r="C326" s="448"/>
      <c r="D326" s="443" t="s">
        <v>284</v>
      </c>
      <c r="E326" s="92"/>
      <c r="F326" s="92"/>
      <c r="G326" s="87"/>
      <c r="H326" s="93"/>
      <c r="I326" s="4"/>
      <c r="J326" s="163">
        <f>J306+J307+J308+J309+J310+J311+J312</f>
        <v>497</v>
      </c>
      <c r="K326" s="93"/>
      <c r="L326" s="4"/>
      <c r="M326" s="114"/>
      <c r="N326" s="88"/>
      <c r="O326" s="89"/>
      <c r="P326" s="92" t="s">
        <v>64</v>
      </c>
      <c r="Q326" s="78" t="s">
        <v>243</v>
      </c>
      <c r="R326" s="163">
        <f>R306+R307+R308+R309+R310+R311+R312</f>
        <v>10418</v>
      </c>
      <c r="S326" s="104"/>
      <c r="T326" s="22"/>
      <c r="U326" s="22"/>
      <c r="V326" s="91"/>
      <c r="X326"/>
      <c r="Y326" s="69"/>
      <c r="Z326"/>
      <c r="AA326" s="33"/>
    </row>
    <row r="327" spans="1:27" s="73" customFormat="1">
      <c r="A327" s="79"/>
      <c r="B327" s="449"/>
      <c r="C327" s="450"/>
      <c r="D327" s="445"/>
      <c r="E327" s="92"/>
      <c r="F327" s="92"/>
      <c r="G327" s="87"/>
      <c r="H327" s="93"/>
      <c r="I327" s="4"/>
      <c r="J327" s="163">
        <f>J313+J314+J317+J318</f>
        <v>165</v>
      </c>
      <c r="K327" s="93"/>
      <c r="L327" s="4"/>
      <c r="M327" s="114"/>
      <c r="N327" s="88"/>
      <c r="O327" s="89"/>
      <c r="P327" s="92" t="s">
        <v>64</v>
      </c>
      <c r="Q327" s="78" t="s">
        <v>42</v>
      </c>
      <c r="R327" s="163">
        <f>R313+R314+R317+R318</f>
        <v>4346</v>
      </c>
      <c r="S327" s="104"/>
      <c r="T327" s="22"/>
      <c r="U327" s="22"/>
      <c r="V327" s="91"/>
      <c r="X327"/>
      <c r="Y327" s="69"/>
      <c r="Z327"/>
      <c r="AA327" s="33"/>
    </row>
    <row r="328" spans="1:27" s="73" customFormat="1">
      <c r="A328" s="79"/>
      <c r="B328" s="449"/>
      <c r="C328" s="450"/>
      <c r="D328" s="444"/>
      <c r="E328" s="92"/>
      <c r="F328" s="92"/>
      <c r="G328" s="87"/>
      <c r="H328" s="93"/>
      <c r="I328" s="4"/>
      <c r="J328" s="163">
        <f>J315+J316+J319</f>
        <v>1086</v>
      </c>
      <c r="K328" s="93"/>
      <c r="L328" s="4"/>
      <c r="M328" s="114"/>
      <c r="N328" s="88"/>
      <c r="O328" s="89"/>
      <c r="P328" s="92" t="s">
        <v>64</v>
      </c>
      <c r="Q328" s="78" t="s">
        <v>242</v>
      </c>
      <c r="R328" s="163">
        <f>R315+R316+R319</f>
        <v>39222</v>
      </c>
      <c r="S328" s="104"/>
      <c r="T328" s="22"/>
      <c r="U328" s="22"/>
      <c r="V328" s="91"/>
      <c r="X328"/>
      <c r="Y328" s="69"/>
      <c r="Z328"/>
      <c r="AA328" s="33"/>
    </row>
    <row r="329" spans="1:27" s="73" customFormat="1">
      <c r="A329" s="79"/>
      <c r="B329" s="449"/>
      <c r="C329" s="450"/>
      <c r="D329" s="443" t="s">
        <v>285</v>
      </c>
      <c r="E329" s="92"/>
      <c r="F329" s="92"/>
      <c r="G329" s="87"/>
      <c r="H329" s="93"/>
      <c r="I329" s="4"/>
      <c r="J329" s="163">
        <f>J323</f>
        <v>20</v>
      </c>
      <c r="K329" s="93"/>
      <c r="L329" s="4"/>
      <c r="M329" s="114"/>
      <c r="N329" s="88"/>
      <c r="O329" s="89"/>
      <c r="P329" s="92" t="s">
        <v>64</v>
      </c>
      <c r="Q329" s="78" t="s">
        <v>243</v>
      </c>
      <c r="R329" s="163">
        <f>R323</f>
        <v>3979</v>
      </c>
      <c r="S329" s="104"/>
      <c r="T329" s="22"/>
      <c r="U329" s="22"/>
      <c r="V329" s="91"/>
      <c r="X329"/>
      <c r="Y329" s="69"/>
      <c r="Z329"/>
      <c r="AA329" s="33"/>
    </row>
    <row r="330" spans="1:27" s="73" customFormat="1">
      <c r="A330" s="79"/>
      <c r="B330" s="449"/>
      <c r="C330" s="450"/>
      <c r="D330" s="445"/>
      <c r="E330" s="92"/>
      <c r="F330" s="92"/>
      <c r="G330" s="87"/>
      <c r="H330" s="93"/>
      <c r="I330" s="4"/>
      <c r="J330" s="163">
        <f>J320+J324</f>
        <v>113</v>
      </c>
      <c r="K330" s="93"/>
      <c r="L330" s="4"/>
      <c r="M330" s="114"/>
      <c r="N330" s="88"/>
      <c r="O330" s="89"/>
      <c r="P330" s="92" t="s">
        <v>64</v>
      </c>
      <c r="Q330" s="78" t="s">
        <v>42</v>
      </c>
      <c r="R330" s="163">
        <f>R320+R324</f>
        <v>19462</v>
      </c>
      <c r="S330" s="104"/>
      <c r="T330" s="22"/>
      <c r="U330" s="22"/>
      <c r="V330" s="91"/>
      <c r="X330"/>
      <c r="Y330" s="69"/>
      <c r="Z330"/>
      <c r="AA330" s="33"/>
    </row>
    <row r="331" spans="1:27" s="73" customFormat="1">
      <c r="A331" s="79"/>
      <c r="B331" s="451"/>
      <c r="C331" s="452"/>
      <c r="D331" s="444"/>
      <c r="E331" s="92"/>
      <c r="F331" s="92"/>
      <c r="G331" s="87"/>
      <c r="H331" s="93"/>
      <c r="I331" s="4"/>
      <c r="J331" s="163">
        <f>J321+J322+J325</f>
        <v>311</v>
      </c>
      <c r="K331" s="93"/>
      <c r="L331" s="4"/>
      <c r="M331" s="114"/>
      <c r="N331" s="88"/>
      <c r="O331" s="89"/>
      <c r="P331" s="92" t="s">
        <v>64</v>
      </c>
      <c r="Q331" s="78" t="s">
        <v>242</v>
      </c>
      <c r="R331" s="163">
        <f>R321+R322+R325</f>
        <v>22864</v>
      </c>
      <c r="S331" s="104"/>
      <c r="T331" s="22"/>
      <c r="U331" s="22"/>
      <c r="V331" s="91"/>
      <c r="X331"/>
      <c r="Y331" s="69"/>
      <c r="Z331"/>
      <c r="AA331" s="33"/>
    </row>
    <row r="332" spans="1:27" s="73" customFormat="1" hidden="1">
      <c r="A332" s="79">
        <v>280</v>
      </c>
      <c r="B332" s="92" t="s">
        <v>7</v>
      </c>
      <c r="C332" s="92">
        <v>4</v>
      </c>
      <c r="D332" s="92" t="s">
        <v>31</v>
      </c>
      <c r="E332" s="92" t="s">
        <v>26</v>
      </c>
      <c r="F332" s="92">
        <v>108</v>
      </c>
      <c r="G332" s="87" t="s">
        <v>74</v>
      </c>
      <c r="H332" s="93">
        <v>1.1000000000000001</v>
      </c>
      <c r="I332" s="4">
        <v>2</v>
      </c>
      <c r="J332" s="4"/>
      <c r="K332" s="93">
        <v>1.1000000000000001</v>
      </c>
      <c r="L332" s="4"/>
      <c r="M332" s="114" t="s">
        <v>115</v>
      </c>
      <c r="N332" s="88" t="s">
        <v>215</v>
      </c>
      <c r="O332" s="89">
        <v>43834</v>
      </c>
      <c r="P332" s="92" t="s">
        <v>65</v>
      </c>
      <c r="Q332" s="78" t="s">
        <v>105</v>
      </c>
      <c r="R332" s="163"/>
      <c r="S332" s="104"/>
      <c r="T332" s="22"/>
      <c r="U332" s="22"/>
      <c r="V332" s="91" t="s">
        <v>37</v>
      </c>
      <c r="X332"/>
      <c r="Y332" s="69"/>
      <c r="Z332"/>
      <c r="AA332" s="33"/>
    </row>
    <row r="333" spans="1:27" s="73" customFormat="1" hidden="1">
      <c r="A333" s="79">
        <v>281</v>
      </c>
      <c r="B333" s="92" t="s">
        <v>7</v>
      </c>
      <c r="C333" s="92">
        <v>4</v>
      </c>
      <c r="D333" s="92" t="s">
        <v>31</v>
      </c>
      <c r="E333" s="92" t="s">
        <v>26</v>
      </c>
      <c r="F333" s="92">
        <v>116</v>
      </c>
      <c r="G333" s="87" t="s">
        <v>75</v>
      </c>
      <c r="H333" s="93">
        <v>1.3</v>
      </c>
      <c r="I333" s="4">
        <v>2</v>
      </c>
      <c r="J333" s="4"/>
      <c r="K333" s="93">
        <v>1.3</v>
      </c>
      <c r="L333" s="4"/>
      <c r="M333" s="114" t="s">
        <v>115</v>
      </c>
      <c r="N333" s="88" t="s">
        <v>215</v>
      </c>
      <c r="O333" s="89">
        <v>43834</v>
      </c>
      <c r="P333" s="92" t="s">
        <v>65</v>
      </c>
      <c r="Q333" s="78" t="s">
        <v>105</v>
      </c>
      <c r="R333" s="163"/>
      <c r="S333" s="104"/>
      <c r="T333" s="22"/>
      <c r="U333" s="22"/>
      <c r="V333" s="91" t="s">
        <v>37</v>
      </c>
      <c r="X333"/>
      <c r="Y333" s="69"/>
      <c r="Z333"/>
      <c r="AA333" s="33"/>
    </row>
    <row r="334" spans="1:27" s="73" customFormat="1" hidden="1">
      <c r="A334" s="79">
        <v>282</v>
      </c>
      <c r="B334" s="92" t="s">
        <v>7</v>
      </c>
      <c r="C334" s="92">
        <v>3</v>
      </c>
      <c r="D334" s="92" t="s">
        <v>31</v>
      </c>
      <c r="E334" s="92" t="s">
        <v>26</v>
      </c>
      <c r="F334" s="92">
        <v>120</v>
      </c>
      <c r="G334" s="87" t="s">
        <v>89</v>
      </c>
      <c r="H334" s="93">
        <v>2.2000000000000002</v>
      </c>
      <c r="I334" s="4">
        <v>16</v>
      </c>
      <c r="J334" s="4"/>
      <c r="K334" s="93">
        <v>2.2000000000000002</v>
      </c>
      <c r="L334" s="103"/>
      <c r="M334" s="114" t="s">
        <v>115</v>
      </c>
      <c r="N334" s="88" t="s">
        <v>215</v>
      </c>
      <c r="O334" s="89">
        <v>43834</v>
      </c>
      <c r="P334" s="92" t="s">
        <v>65</v>
      </c>
      <c r="Q334" s="78" t="s">
        <v>105</v>
      </c>
      <c r="R334" s="163"/>
      <c r="S334" s="104"/>
      <c r="T334" s="22"/>
      <c r="U334" s="22"/>
      <c r="V334" s="91"/>
      <c r="X334"/>
      <c r="Y334" s="69"/>
      <c r="Z334"/>
      <c r="AA334" s="33"/>
    </row>
    <row r="335" spans="1:27" s="73" customFormat="1" hidden="1">
      <c r="A335" s="79">
        <v>283</v>
      </c>
      <c r="B335" s="92" t="s">
        <v>7</v>
      </c>
      <c r="C335" s="92">
        <v>3</v>
      </c>
      <c r="D335" s="92" t="s">
        <v>31</v>
      </c>
      <c r="E335" s="92" t="s">
        <v>26</v>
      </c>
      <c r="F335" s="92">
        <v>120</v>
      </c>
      <c r="G335" s="87" t="s">
        <v>213</v>
      </c>
      <c r="H335" s="93">
        <v>0.8</v>
      </c>
      <c r="I335" s="4">
        <v>5</v>
      </c>
      <c r="J335" s="4"/>
      <c r="K335" s="93">
        <v>0.8</v>
      </c>
      <c r="L335" s="103"/>
      <c r="M335" s="114" t="s">
        <v>115</v>
      </c>
      <c r="N335" s="88" t="s">
        <v>215</v>
      </c>
      <c r="O335" s="89">
        <v>43834</v>
      </c>
      <c r="P335" s="92" t="s">
        <v>65</v>
      </c>
      <c r="Q335" s="78" t="s">
        <v>105</v>
      </c>
      <c r="R335" s="163"/>
      <c r="S335" s="104"/>
      <c r="T335" s="22"/>
      <c r="U335" s="22"/>
      <c r="V335" s="91"/>
      <c r="X335"/>
      <c r="Y335" s="69"/>
      <c r="Z335"/>
      <c r="AA335" s="33"/>
    </row>
    <row r="336" spans="1:27" s="73" customFormat="1" hidden="1">
      <c r="A336" s="79">
        <v>284</v>
      </c>
      <c r="B336" s="92" t="s">
        <v>7</v>
      </c>
      <c r="C336" s="92">
        <v>3</v>
      </c>
      <c r="D336" s="92" t="s">
        <v>31</v>
      </c>
      <c r="E336" s="92" t="s">
        <v>26</v>
      </c>
      <c r="F336" s="92">
        <v>120</v>
      </c>
      <c r="G336" s="87" t="s">
        <v>84</v>
      </c>
      <c r="H336" s="93">
        <v>0.8</v>
      </c>
      <c r="I336" s="4">
        <v>9</v>
      </c>
      <c r="J336" s="4"/>
      <c r="K336" s="93">
        <v>0.8</v>
      </c>
      <c r="L336" s="103"/>
      <c r="M336" s="114" t="s">
        <v>115</v>
      </c>
      <c r="N336" s="88" t="s">
        <v>215</v>
      </c>
      <c r="O336" s="89">
        <v>43834</v>
      </c>
      <c r="P336" s="92" t="s">
        <v>65</v>
      </c>
      <c r="Q336" s="78" t="s">
        <v>105</v>
      </c>
      <c r="R336" s="163"/>
      <c r="S336" s="104"/>
      <c r="T336" s="22"/>
      <c r="U336" s="22"/>
      <c r="V336" s="91"/>
      <c r="X336"/>
      <c r="Y336" s="69"/>
      <c r="Z336"/>
      <c r="AA336" s="33"/>
    </row>
    <row r="337" spans="1:27" s="73" customFormat="1" ht="20.25" hidden="1" customHeight="1">
      <c r="A337" s="79">
        <v>285</v>
      </c>
      <c r="B337" s="92" t="s">
        <v>7</v>
      </c>
      <c r="C337" s="92">
        <v>3</v>
      </c>
      <c r="D337" s="92" t="s">
        <v>31</v>
      </c>
      <c r="E337" s="92" t="s">
        <v>26</v>
      </c>
      <c r="F337" s="92">
        <v>120</v>
      </c>
      <c r="G337" s="87" t="s">
        <v>85</v>
      </c>
      <c r="H337" s="93">
        <v>3.3</v>
      </c>
      <c r="I337" s="4">
        <v>36</v>
      </c>
      <c r="J337" s="4"/>
      <c r="K337" s="4">
        <v>3.3</v>
      </c>
      <c r="L337" s="93"/>
      <c r="M337" s="114" t="s">
        <v>115</v>
      </c>
      <c r="N337" s="88" t="s">
        <v>215</v>
      </c>
      <c r="O337" s="89">
        <v>43834</v>
      </c>
      <c r="P337" s="92" t="s">
        <v>65</v>
      </c>
      <c r="Q337" s="78" t="s">
        <v>105</v>
      </c>
      <c r="R337" s="163"/>
      <c r="S337" s="104"/>
      <c r="T337" s="22"/>
      <c r="U337" s="22"/>
      <c r="V337" s="91" t="s">
        <v>56</v>
      </c>
      <c r="X337"/>
      <c r="Y337" s="69"/>
      <c r="Z337"/>
      <c r="AA337" s="33"/>
    </row>
    <row r="338" spans="1:27" s="73" customFormat="1" hidden="1">
      <c r="A338" s="79">
        <v>286</v>
      </c>
      <c r="B338" s="92" t="s">
        <v>7</v>
      </c>
      <c r="C338" s="92">
        <v>4</v>
      </c>
      <c r="D338" s="92" t="s">
        <v>31</v>
      </c>
      <c r="E338" s="92" t="s">
        <v>28</v>
      </c>
      <c r="F338" s="92">
        <v>122</v>
      </c>
      <c r="G338" s="87" t="s">
        <v>101</v>
      </c>
      <c r="H338" s="93">
        <v>2.2999999999999998</v>
      </c>
      <c r="I338" s="4">
        <v>5</v>
      </c>
      <c r="J338" s="4"/>
      <c r="K338" s="4">
        <v>2.2999999999999998</v>
      </c>
      <c r="L338" s="93"/>
      <c r="M338" s="114" t="s">
        <v>115</v>
      </c>
      <c r="N338" s="88" t="s">
        <v>215</v>
      </c>
      <c r="O338" s="89">
        <v>43834</v>
      </c>
      <c r="P338" s="92" t="s">
        <v>65</v>
      </c>
      <c r="Q338" s="78" t="s">
        <v>105</v>
      </c>
      <c r="R338" s="163"/>
      <c r="S338" s="104"/>
      <c r="T338" s="22"/>
      <c r="U338" s="22"/>
      <c r="V338" s="91" t="s">
        <v>56</v>
      </c>
      <c r="X338"/>
      <c r="Y338" s="69"/>
      <c r="Z338"/>
      <c r="AA338" s="33"/>
    </row>
    <row r="339" spans="1:27" s="73" customFormat="1" hidden="1">
      <c r="A339" s="79">
        <v>287</v>
      </c>
      <c r="B339" s="92" t="s">
        <v>7</v>
      </c>
      <c r="C339" s="92">
        <v>4</v>
      </c>
      <c r="D339" s="92" t="s">
        <v>31</v>
      </c>
      <c r="E339" s="92" t="s">
        <v>28</v>
      </c>
      <c r="F339" s="92">
        <v>75</v>
      </c>
      <c r="G339" s="87" t="s">
        <v>214</v>
      </c>
      <c r="H339" s="93">
        <v>0.4</v>
      </c>
      <c r="I339" s="4">
        <v>2</v>
      </c>
      <c r="J339" s="4"/>
      <c r="K339" s="4">
        <v>0.4</v>
      </c>
      <c r="L339" s="93"/>
      <c r="M339" s="114" t="s">
        <v>115</v>
      </c>
      <c r="N339" s="88" t="s">
        <v>215</v>
      </c>
      <c r="O339" s="89">
        <v>43834</v>
      </c>
      <c r="P339" s="92" t="s">
        <v>65</v>
      </c>
      <c r="Q339" s="78" t="s">
        <v>105</v>
      </c>
      <c r="R339" s="163"/>
      <c r="S339" s="104"/>
      <c r="T339" s="22"/>
      <c r="U339" s="22"/>
      <c r="V339" s="91" t="s">
        <v>56</v>
      </c>
      <c r="X339"/>
      <c r="Y339" s="69"/>
      <c r="Z339"/>
      <c r="AA339" s="33"/>
    </row>
    <row r="340" spans="1:27" s="73" customFormat="1" hidden="1">
      <c r="A340" s="79">
        <v>288</v>
      </c>
      <c r="B340" s="92" t="s">
        <v>7</v>
      </c>
      <c r="C340" s="92">
        <v>4</v>
      </c>
      <c r="D340" s="92" t="s">
        <v>31</v>
      </c>
      <c r="E340" s="92" t="s">
        <v>26</v>
      </c>
      <c r="F340" s="92">
        <v>75</v>
      </c>
      <c r="G340" s="87" t="s">
        <v>89</v>
      </c>
      <c r="H340" s="93">
        <v>0.3</v>
      </c>
      <c r="I340" s="4">
        <v>2</v>
      </c>
      <c r="J340" s="4"/>
      <c r="K340" s="4">
        <v>0.3</v>
      </c>
      <c r="L340" s="93"/>
      <c r="M340" s="114" t="s">
        <v>115</v>
      </c>
      <c r="N340" s="88" t="s">
        <v>215</v>
      </c>
      <c r="O340" s="89">
        <v>43834</v>
      </c>
      <c r="P340" s="92" t="s">
        <v>65</v>
      </c>
      <c r="Q340" s="78" t="s">
        <v>105</v>
      </c>
      <c r="R340" s="163"/>
      <c r="S340" s="104"/>
      <c r="T340" s="22"/>
      <c r="U340" s="22"/>
      <c r="V340" s="91" t="s">
        <v>56</v>
      </c>
      <c r="X340"/>
      <c r="Y340" s="69"/>
      <c r="Z340"/>
      <c r="AA340" s="33"/>
    </row>
    <row r="341" spans="1:27" s="73" customFormat="1" hidden="1">
      <c r="A341" s="79">
        <v>289</v>
      </c>
      <c r="B341" s="92" t="s">
        <v>7</v>
      </c>
      <c r="C341" s="92">
        <v>4</v>
      </c>
      <c r="D341" s="92" t="s">
        <v>31</v>
      </c>
      <c r="E341" s="92" t="s">
        <v>26</v>
      </c>
      <c r="F341" s="92">
        <v>76</v>
      </c>
      <c r="G341" s="87" t="s">
        <v>87</v>
      </c>
      <c r="H341" s="93">
        <v>1.3</v>
      </c>
      <c r="I341" s="4">
        <v>11</v>
      </c>
      <c r="J341" s="4"/>
      <c r="K341" s="4">
        <v>1.3</v>
      </c>
      <c r="L341" s="93"/>
      <c r="M341" s="114" t="s">
        <v>115</v>
      </c>
      <c r="N341" s="88" t="s">
        <v>215</v>
      </c>
      <c r="O341" s="89">
        <v>43834</v>
      </c>
      <c r="P341" s="92" t="s">
        <v>65</v>
      </c>
      <c r="Q341" s="78" t="s">
        <v>105</v>
      </c>
      <c r="R341" s="163"/>
      <c r="S341" s="104"/>
      <c r="T341" s="22"/>
      <c r="U341" s="22"/>
      <c r="V341" s="91" t="s">
        <v>56</v>
      </c>
      <c r="X341"/>
      <c r="Y341" s="69"/>
      <c r="Z341"/>
      <c r="AA341" s="33"/>
    </row>
    <row r="342" spans="1:27" s="73" customFormat="1" hidden="1">
      <c r="A342" s="79">
        <v>290</v>
      </c>
      <c r="B342" s="92" t="s">
        <v>7</v>
      </c>
      <c r="C342" s="92">
        <v>3</v>
      </c>
      <c r="D342" s="92" t="s">
        <v>31</v>
      </c>
      <c r="E342" s="92" t="s">
        <v>26</v>
      </c>
      <c r="F342" s="92">
        <v>78</v>
      </c>
      <c r="G342" s="87" t="s">
        <v>71</v>
      </c>
      <c r="H342" s="93">
        <v>0.5</v>
      </c>
      <c r="I342" s="4">
        <v>1</v>
      </c>
      <c r="J342" s="4"/>
      <c r="K342" s="103">
        <v>0.5</v>
      </c>
      <c r="L342" s="93"/>
      <c r="M342" s="114" t="s">
        <v>115</v>
      </c>
      <c r="N342" s="88" t="s">
        <v>215</v>
      </c>
      <c r="O342" s="89">
        <v>43834</v>
      </c>
      <c r="P342" s="92" t="s">
        <v>65</v>
      </c>
      <c r="Q342" s="78" t="s">
        <v>105</v>
      </c>
      <c r="R342" s="163"/>
      <c r="S342" s="104"/>
      <c r="T342" s="22"/>
      <c r="U342" s="22"/>
      <c r="V342" s="91"/>
      <c r="X342"/>
      <c r="Y342" s="69"/>
      <c r="Z342"/>
      <c r="AA342" s="33"/>
    </row>
    <row r="343" spans="1:27" s="73" customFormat="1" hidden="1">
      <c r="A343" s="79">
        <v>291</v>
      </c>
      <c r="B343" s="92" t="s">
        <v>7</v>
      </c>
      <c r="C343" s="92">
        <v>4</v>
      </c>
      <c r="D343" s="92" t="s">
        <v>31</v>
      </c>
      <c r="E343" s="92" t="s">
        <v>26</v>
      </c>
      <c r="F343" s="92">
        <v>88</v>
      </c>
      <c r="G343" s="87" t="s">
        <v>75</v>
      </c>
      <c r="H343" s="93">
        <v>3</v>
      </c>
      <c r="I343" s="4">
        <v>19</v>
      </c>
      <c r="J343" s="4"/>
      <c r="K343" s="103">
        <v>3</v>
      </c>
      <c r="L343" s="93"/>
      <c r="M343" s="114" t="s">
        <v>115</v>
      </c>
      <c r="N343" s="88" t="s">
        <v>215</v>
      </c>
      <c r="O343" s="89">
        <v>43834</v>
      </c>
      <c r="P343" s="92" t="s">
        <v>65</v>
      </c>
      <c r="Q343" s="78" t="s">
        <v>105</v>
      </c>
      <c r="R343" s="163"/>
      <c r="S343" s="104"/>
      <c r="T343" s="22"/>
      <c r="U343" s="22"/>
      <c r="V343" s="91"/>
      <c r="X343"/>
      <c r="Y343" s="69"/>
      <c r="Z343"/>
      <c r="AA343" s="33"/>
    </row>
    <row r="344" spans="1:27" s="73" customFormat="1" hidden="1">
      <c r="A344" s="79">
        <v>292</v>
      </c>
      <c r="B344" s="92" t="s">
        <v>7</v>
      </c>
      <c r="C344" s="92">
        <v>4</v>
      </c>
      <c r="D344" s="92" t="s">
        <v>31</v>
      </c>
      <c r="E344" s="92" t="s">
        <v>26</v>
      </c>
      <c r="F344" s="92">
        <v>89</v>
      </c>
      <c r="G344" s="87" t="s">
        <v>77</v>
      </c>
      <c r="H344" s="93">
        <v>2.7</v>
      </c>
      <c r="I344" s="4">
        <v>18</v>
      </c>
      <c r="J344" s="4"/>
      <c r="K344" s="103">
        <v>2.7</v>
      </c>
      <c r="L344" s="93"/>
      <c r="M344" s="114" t="s">
        <v>115</v>
      </c>
      <c r="N344" s="88" t="s">
        <v>215</v>
      </c>
      <c r="O344" s="89">
        <v>43834</v>
      </c>
      <c r="P344" s="92" t="s">
        <v>65</v>
      </c>
      <c r="Q344" s="78" t="s">
        <v>105</v>
      </c>
      <c r="R344" s="163"/>
      <c r="S344" s="104"/>
      <c r="T344" s="22"/>
      <c r="U344" s="22"/>
      <c r="V344" s="91"/>
      <c r="X344"/>
      <c r="Y344" s="69"/>
      <c r="Z344"/>
      <c r="AA344" s="33"/>
    </row>
    <row r="345" spans="1:27" s="73" customFormat="1" hidden="1">
      <c r="A345" s="79">
        <v>293</v>
      </c>
      <c r="B345" s="92" t="s">
        <v>7</v>
      </c>
      <c r="C345" s="92">
        <v>4</v>
      </c>
      <c r="D345" s="92" t="s">
        <v>31</v>
      </c>
      <c r="E345" s="92" t="s">
        <v>26</v>
      </c>
      <c r="F345" s="92">
        <v>96</v>
      </c>
      <c r="G345" s="87" t="s">
        <v>70</v>
      </c>
      <c r="H345" s="93">
        <v>3</v>
      </c>
      <c r="I345" s="4">
        <v>6</v>
      </c>
      <c r="J345" s="4"/>
      <c r="K345" s="103">
        <v>3</v>
      </c>
      <c r="L345" s="93"/>
      <c r="M345" s="114" t="s">
        <v>115</v>
      </c>
      <c r="N345" s="88" t="s">
        <v>215</v>
      </c>
      <c r="O345" s="89">
        <v>43834</v>
      </c>
      <c r="P345" s="92" t="s">
        <v>65</v>
      </c>
      <c r="Q345" s="78" t="s">
        <v>105</v>
      </c>
      <c r="R345" s="163"/>
      <c r="S345" s="104"/>
      <c r="T345" s="22"/>
      <c r="U345" s="22"/>
      <c r="V345" s="91"/>
      <c r="X345"/>
      <c r="Y345" s="69"/>
      <c r="Z345"/>
      <c r="AA345" s="33"/>
    </row>
    <row r="346" spans="1:27" s="73" customFormat="1" hidden="1">
      <c r="A346" s="79">
        <v>294</v>
      </c>
      <c r="B346" s="92" t="s">
        <v>7</v>
      </c>
      <c r="C346" s="92">
        <v>4</v>
      </c>
      <c r="D346" s="92" t="s">
        <v>31</v>
      </c>
      <c r="E346" s="92" t="s">
        <v>26</v>
      </c>
      <c r="F346" s="92">
        <v>96</v>
      </c>
      <c r="G346" s="87" t="s">
        <v>79</v>
      </c>
      <c r="H346" s="93">
        <v>2.9</v>
      </c>
      <c r="I346" s="4">
        <v>19</v>
      </c>
      <c r="J346" s="4"/>
      <c r="K346" s="103">
        <v>2.9</v>
      </c>
      <c r="L346" s="93"/>
      <c r="M346" s="114" t="s">
        <v>115</v>
      </c>
      <c r="N346" s="88" t="s">
        <v>215</v>
      </c>
      <c r="O346" s="89">
        <v>43834</v>
      </c>
      <c r="P346" s="92" t="s">
        <v>65</v>
      </c>
      <c r="Q346" s="78" t="s">
        <v>105</v>
      </c>
      <c r="R346" s="163"/>
      <c r="S346" s="104"/>
      <c r="T346" s="22"/>
      <c r="U346" s="22"/>
      <c r="V346" s="91"/>
      <c r="X346"/>
      <c r="Y346" s="69"/>
      <c r="Z346"/>
      <c r="AA346" s="33"/>
    </row>
    <row r="347" spans="1:27" s="73" customFormat="1" hidden="1">
      <c r="A347" s="79">
        <v>295</v>
      </c>
      <c r="B347" s="92" t="s">
        <v>7</v>
      </c>
      <c r="C347" s="92">
        <v>4</v>
      </c>
      <c r="D347" s="92" t="s">
        <v>31</v>
      </c>
      <c r="E347" s="92" t="s">
        <v>26</v>
      </c>
      <c r="F347" s="92">
        <v>98</v>
      </c>
      <c r="G347" s="87" t="s">
        <v>69</v>
      </c>
      <c r="H347" s="93">
        <v>1.9</v>
      </c>
      <c r="I347" s="4">
        <v>13</v>
      </c>
      <c r="J347" s="4"/>
      <c r="K347" s="103">
        <v>1.9</v>
      </c>
      <c r="L347" s="93"/>
      <c r="M347" s="114" t="s">
        <v>115</v>
      </c>
      <c r="N347" s="88" t="s">
        <v>215</v>
      </c>
      <c r="O347" s="89">
        <v>43834</v>
      </c>
      <c r="P347" s="92" t="s">
        <v>65</v>
      </c>
      <c r="Q347" s="78" t="s">
        <v>105</v>
      </c>
      <c r="R347" s="163"/>
      <c r="S347" s="104"/>
      <c r="T347" s="22"/>
      <c r="U347" s="22"/>
      <c r="V347" s="91"/>
      <c r="X347"/>
      <c r="Y347" s="69"/>
      <c r="Z347"/>
      <c r="AA347" s="33"/>
    </row>
    <row r="348" spans="1:27" s="73" customFormat="1" hidden="1">
      <c r="A348" s="79">
        <v>296</v>
      </c>
      <c r="B348" s="92" t="s">
        <v>7</v>
      </c>
      <c r="C348" s="92">
        <v>4</v>
      </c>
      <c r="D348" s="92" t="s">
        <v>23</v>
      </c>
      <c r="E348" s="92" t="s">
        <v>26</v>
      </c>
      <c r="F348" s="92">
        <v>106</v>
      </c>
      <c r="G348" s="87" t="s">
        <v>79</v>
      </c>
      <c r="H348" s="93">
        <v>4.7</v>
      </c>
      <c r="I348" s="4">
        <v>38</v>
      </c>
      <c r="J348" s="4">
        <v>4</v>
      </c>
      <c r="K348" s="103">
        <v>4.7</v>
      </c>
      <c r="L348" s="93"/>
      <c r="M348" s="114" t="s">
        <v>115</v>
      </c>
      <c r="N348" s="88" t="s">
        <v>216</v>
      </c>
      <c r="O348" s="89">
        <v>43834</v>
      </c>
      <c r="P348" s="92" t="s">
        <v>65</v>
      </c>
      <c r="Q348" s="78" t="s">
        <v>105</v>
      </c>
      <c r="R348" s="163"/>
      <c r="S348" s="104"/>
      <c r="T348" s="22"/>
      <c r="U348" s="22"/>
      <c r="V348" s="91"/>
      <c r="X348"/>
      <c r="Y348" s="69"/>
      <c r="Z348"/>
      <c r="AA348" s="33"/>
    </row>
    <row r="349" spans="1:27" s="73" customFormat="1" hidden="1">
      <c r="A349" s="79">
        <v>297</v>
      </c>
      <c r="B349" s="92" t="s">
        <v>7</v>
      </c>
      <c r="C349" s="92">
        <v>4</v>
      </c>
      <c r="D349" s="92" t="s">
        <v>23</v>
      </c>
      <c r="E349" s="92" t="s">
        <v>26</v>
      </c>
      <c r="F349" s="92">
        <v>118</v>
      </c>
      <c r="G349" s="87" t="s">
        <v>74</v>
      </c>
      <c r="H349" s="93">
        <v>3.1</v>
      </c>
      <c r="I349" s="4">
        <v>20</v>
      </c>
      <c r="J349" s="4">
        <v>3</v>
      </c>
      <c r="K349" s="103">
        <v>3.1</v>
      </c>
      <c r="L349" s="93"/>
      <c r="M349" s="114" t="s">
        <v>115</v>
      </c>
      <c r="N349" s="88" t="s">
        <v>216</v>
      </c>
      <c r="O349" s="89">
        <v>43834</v>
      </c>
      <c r="P349" s="92" t="s">
        <v>65</v>
      </c>
      <c r="Q349" s="78" t="s">
        <v>105</v>
      </c>
      <c r="R349" s="163"/>
      <c r="S349" s="104"/>
      <c r="T349" s="22"/>
      <c r="U349" s="22"/>
      <c r="V349" s="91"/>
      <c r="X349"/>
      <c r="Y349" s="69"/>
      <c r="Z349"/>
      <c r="AA349" s="33"/>
    </row>
    <row r="350" spans="1:27" s="73" customFormat="1" hidden="1">
      <c r="A350" s="79">
        <v>298</v>
      </c>
      <c r="B350" s="92" t="s">
        <v>7</v>
      </c>
      <c r="C350" s="92">
        <v>3</v>
      </c>
      <c r="D350" s="92" t="s">
        <v>23</v>
      </c>
      <c r="E350" s="92" t="s">
        <v>26</v>
      </c>
      <c r="F350" s="92">
        <v>120</v>
      </c>
      <c r="G350" s="87" t="s">
        <v>80</v>
      </c>
      <c r="H350" s="93">
        <v>2.2999999999999998</v>
      </c>
      <c r="I350" s="4">
        <v>27</v>
      </c>
      <c r="J350" s="4">
        <v>3</v>
      </c>
      <c r="K350" s="103">
        <v>2.2999999999999998</v>
      </c>
      <c r="L350" s="93"/>
      <c r="M350" s="114" t="s">
        <v>115</v>
      </c>
      <c r="N350" s="88" t="s">
        <v>216</v>
      </c>
      <c r="O350" s="89">
        <v>43834</v>
      </c>
      <c r="P350" s="92" t="s">
        <v>65</v>
      </c>
      <c r="Q350" s="78" t="s">
        <v>105</v>
      </c>
      <c r="R350" s="163"/>
      <c r="S350" s="104"/>
      <c r="T350" s="22"/>
      <c r="U350" s="22"/>
      <c r="V350" s="91"/>
      <c r="X350"/>
      <c r="Y350" s="69"/>
      <c r="Z350"/>
      <c r="AA350" s="33"/>
    </row>
    <row r="351" spans="1:27" s="73" customFormat="1" hidden="1">
      <c r="A351" s="79">
        <v>299</v>
      </c>
      <c r="B351" s="92" t="s">
        <v>7</v>
      </c>
      <c r="C351" s="92">
        <v>4</v>
      </c>
      <c r="D351" s="92" t="s">
        <v>23</v>
      </c>
      <c r="E351" s="92" t="s">
        <v>26</v>
      </c>
      <c r="F351" s="92">
        <v>88</v>
      </c>
      <c r="G351" s="87" t="s">
        <v>79</v>
      </c>
      <c r="H351" s="93">
        <v>1.1000000000000001</v>
      </c>
      <c r="I351" s="4">
        <v>10</v>
      </c>
      <c r="J351" s="4">
        <v>1</v>
      </c>
      <c r="K351" s="103">
        <v>1.1000000000000001</v>
      </c>
      <c r="L351" s="93"/>
      <c r="M351" s="114" t="s">
        <v>115</v>
      </c>
      <c r="N351" s="88" t="s">
        <v>216</v>
      </c>
      <c r="O351" s="89">
        <v>43834</v>
      </c>
      <c r="P351" s="92" t="s">
        <v>65</v>
      </c>
      <c r="Q351" s="78" t="s">
        <v>105</v>
      </c>
      <c r="R351" s="163"/>
      <c r="S351" s="104"/>
      <c r="T351" s="22"/>
      <c r="U351" s="22"/>
      <c r="V351" s="91"/>
      <c r="X351"/>
      <c r="Y351" s="69"/>
      <c r="Z351"/>
      <c r="AA351" s="33"/>
    </row>
    <row r="352" spans="1:27" s="73" customFormat="1" hidden="1">
      <c r="A352" s="79">
        <v>300</v>
      </c>
      <c r="B352" s="10" t="s">
        <v>7</v>
      </c>
      <c r="C352" s="10">
        <v>4</v>
      </c>
      <c r="D352" s="92" t="s">
        <v>23</v>
      </c>
      <c r="E352" s="92" t="s">
        <v>26</v>
      </c>
      <c r="F352" s="92">
        <v>89</v>
      </c>
      <c r="G352" s="87" t="s">
        <v>74</v>
      </c>
      <c r="H352" s="93">
        <v>1.5</v>
      </c>
      <c r="I352" s="4">
        <v>17</v>
      </c>
      <c r="J352" s="4">
        <v>1</v>
      </c>
      <c r="K352" s="93">
        <v>1.5</v>
      </c>
      <c r="L352" s="4"/>
      <c r="M352" s="114" t="s">
        <v>115</v>
      </c>
      <c r="N352" s="88" t="s">
        <v>216</v>
      </c>
      <c r="O352" s="89">
        <v>43834</v>
      </c>
      <c r="P352" s="92" t="s">
        <v>65</v>
      </c>
      <c r="Q352" s="78" t="s">
        <v>105</v>
      </c>
      <c r="R352" s="163"/>
      <c r="S352" s="104"/>
      <c r="T352" s="22"/>
      <c r="U352" s="22"/>
      <c r="V352" s="91" t="s">
        <v>38</v>
      </c>
      <c r="X352"/>
      <c r="Y352" s="69"/>
      <c r="Z352"/>
      <c r="AA352" s="33"/>
    </row>
    <row r="353" spans="1:27" s="73" customFormat="1" hidden="1">
      <c r="A353" s="79">
        <v>301</v>
      </c>
      <c r="B353" s="92" t="s">
        <v>7</v>
      </c>
      <c r="C353" s="92">
        <v>4</v>
      </c>
      <c r="D353" s="92" t="s">
        <v>23</v>
      </c>
      <c r="E353" s="92" t="s">
        <v>26</v>
      </c>
      <c r="F353" s="92">
        <v>90</v>
      </c>
      <c r="G353" s="87" t="s">
        <v>72</v>
      </c>
      <c r="H353" s="93">
        <v>0.8</v>
      </c>
      <c r="I353" s="4">
        <v>11</v>
      </c>
      <c r="J353" s="4">
        <v>1</v>
      </c>
      <c r="K353" s="93">
        <v>0.8</v>
      </c>
      <c r="L353" s="4"/>
      <c r="M353" s="114" t="s">
        <v>115</v>
      </c>
      <c r="N353" s="88" t="s">
        <v>216</v>
      </c>
      <c r="O353" s="89">
        <v>43834</v>
      </c>
      <c r="P353" s="92" t="s">
        <v>65</v>
      </c>
      <c r="Q353" s="78" t="s">
        <v>105</v>
      </c>
      <c r="R353" s="163"/>
      <c r="S353" s="104"/>
      <c r="T353" s="22"/>
      <c r="U353" s="22"/>
      <c r="V353" s="91" t="s">
        <v>38</v>
      </c>
      <c r="X353"/>
      <c r="Y353" s="69"/>
      <c r="Z353"/>
      <c r="AA353" s="33"/>
    </row>
    <row r="354" spans="1:27" s="73" customFormat="1" hidden="1">
      <c r="A354" s="79">
        <v>302</v>
      </c>
      <c r="B354" s="92" t="s">
        <v>7</v>
      </c>
      <c r="C354" s="92">
        <v>4</v>
      </c>
      <c r="D354" s="92" t="s">
        <v>23</v>
      </c>
      <c r="E354" s="92" t="s">
        <v>26</v>
      </c>
      <c r="F354" s="92">
        <v>90</v>
      </c>
      <c r="G354" s="87" t="s">
        <v>77</v>
      </c>
      <c r="H354" s="93">
        <v>2.7</v>
      </c>
      <c r="I354" s="4">
        <v>33</v>
      </c>
      <c r="J354" s="4">
        <v>12</v>
      </c>
      <c r="K354" s="93">
        <v>2.7</v>
      </c>
      <c r="L354" s="4"/>
      <c r="M354" s="114" t="s">
        <v>115</v>
      </c>
      <c r="N354" s="88" t="s">
        <v>216</v>
      </c>
      <c r="O354" s="89">
        <v>43834</v>
      </c>
      <c r="P354" s="92" t="s">
        <v>65</v>
      </c>
      <c r="Q354" s="78" t="s">
        <v>105</v>
      </c>
      <c r="R354" s="163"/>
      <c r="S354" s="104"/>
      <c r="T354" s="22"/>
      <c r="U354" s="22"/>
      <c r="V354" s="91" t="s">
        <v>38</v>
      </c>
      <c r="X354"/>
      <c r="Y354" s="69"/>
      <c r="Z354"/>
      <c r="AA354" s="33"/>
    </row>
    <row r="355" spans="1:27" s="73" customFormat="1" hidden="1">
      <c r="A355" s="79">
        <v>303</v>
      </c>
      <c r="B355" s="92" t="s">
        <v>7</v>
      </c>
      <c r="C355" s="92">
        <v>4</v>
      </c>
      <c r="D355" s="92" t="s">
        <v>23</v>
      </c>
      <c r="E355" s="92" t="s">
        <v>26</v>
      </c>
      <c r="F355" s="92">
        <v>93</v>
      </c>
      <c r="G355" s="87" t="s">
        <v>74</v>
      </c>
      <c r="H355" s="93">
        <v>5</v>
      </c>
      <c r="I355" s="4">
        <v>40</v>
      </c>
      <c r="J355" s="4">
        <v>8</v>
      </c>
      <c r="K355" s="93">
        <v>5</v>
      </c>
      <c r="L355" s="4"/>
      <c r="M355" s="114" t="s">
        <v>115</v>
      </c>
      <c r="N355" s="88" t="s">
        <v>216</v>
      </c>
      <c r="O355" s="89" t="s">
        <v>171</v>
      </c>
      <c r="P355" s="92" t="s">
        <v>65</v>
      </c>
      <c r="Q355" s="78" t="s">
        <v>105</v>
      </c>
      <c r="R355" s="163"/>
      <c r="S355" s="104"/>
      <c r="T355" s="22"/>
      <c r="U355" s="22"/>
      <c r="V355" s="91" t="s">
        <v>38</v>
      </c>
      <c r="X355"/>
      <c r="Y355" s="69"/>
      <c r="Z355"/>
      <c r="AA355" s="33"/>
    </row>
    <row r="356" spans="1:27" s="73" customFormat="1" hidden="1">
      <c r="A356" s="79">
        <v>304</v>
      </c>
      <c r="B356" s="92" t="s">
        <v>7</v>
      </c>
      <c r="C356" s="92">
        <v>4</v>
      </c>
      <c r="D356" s="92" t="s">
        <v>24</v>
      </c>
      <c r="E356" s="92" t="s">
        <v>26</v>
      </c>
      <c r="F356" s="92">
        <v>121</v>
      </c>
      <c r="G356" s="87" t="s">
        <v>68</v>
      </c>
      <c r="H356" s="93">
        <v>2.9</v>
      </c>
      <c r="I356" s="4">
        <v>75</v>
      </c>
      <c r="J356" s="4">
        <f>66+1</f>
        <v>67</v>
      </c>
      <c r="K356" s="93">
        <v>2.9</v>
      </c>
      <c r="L356" s="4"/>
      <c r="M356" s="114" t="s">
        <v>115</v>
      </c>
      <c r="N356" s="88" t="s">
        <v>217</v>
      </c>
      <c r="O356" s="89">
        <v>43841</v>
      </c>
      <c r="P356" s="92" t="s">
        <v>65</v>
      </c>
      <c r="Q356" s="78" t="s">
        <v>105</v>
      </c>
      <c r="R356" s="163"/>
      <c r="S356" s="104"/>
      <c r="T356" s="22"/>
      <c r="U356" s="22"/>
      <c r="V356" s="91" t="s">
        <v>38</v>
      </c>
      <c r="X356"/>
      <c r="Y356" s="69"/>
      <c r="Z356"/>
      <c r="AA356" s="33"/>
    </row>
    <row r="357" spans="1:27" s="73" customFormat="1" hidden="1">
      <c r="A357" s="79">
        <v>305</v>
      </c>
      <c r="B357" s="92" t="s">
        <v>7</v>
      </c>
      <c r="C357" s="92">
        <v>4</v>
      </c>
      <c r="D357" s="92" t="s">
        <v>24</v>
      </c>
      <c r="E357" s="92" t="s">
        <v>28</v>
      </c>
      <c r="F357" s="92">
        <v>122</v>
      </c>
      <c r="G357" s="87" t="s">
        <v>101</v>
      </c>
      <c r="H357" s="93">
        <v>1.1000000000000001</v>
      </c>
      <c r="I357" s="4">
        <v>45</v>
      </c>
      <c r="J357" s="4">
        <f>41+1</f>
        <v>42</v>
      </c>
      <c r="K357" s="93">
        <v>1.1000000000000001</v>
      </c>
      <c r="L357" s="4"/>
      <c r="M357" s="114" t="s">
        <v>115</v>
      </c>
      <c r="N357" s="88" t="s">
        <v>217</v>
      </c>
      <c r="O357" s="89">
        <v>43841</v>
      </c>
      <c r="P357" s="92" t="s">
        <v>65</v>
      </c>
      <c r="Q357" s="78" t="s">
        <v>105</v>
      </c>
      <c r="R357" s="163"/>
      <c r="S357" s="104"/>
      <c r="T357" s="22"/>
      <c r="U357" s="22"/>
      <c r="V357" s="91"/>
      <c r="X357"/>
      <c r="Y357" s="69"/>
      <c r="Z357"/>
      <c r="AA357" s="33"/>
    </row>
    <row r="358" spans="1:27" s="73" customFormat="1" hidden="1">
      <c r="A358" s="79">
        <v>306</v>
      </c>
      <c r="B358" s="92" t="s">
        <v>7</v>
      </c>
      <c r="C358" s="92">
        <v>4</v>
      </c>
      <c r="D358" s="92" t="s">
        <v>24</v>
      </c>
      <c r="E358" s="92" t="s">
        <v>26</v>
      </c>
      <c r="F358" s="92">
        <v>121</v>
      </c>
      <c r="G358" s="87" t="s">
        <v>74</v>
      </c>
      <c r="H358" s="93">
        <v>2.6</v>
      </c>
      <c r="I358" s="4">
        <v>100</v>
      </c>
      <c r="J358" s="4">
        <f>91+2</f>
        <v>93</v>
      </c>
      <c r="K358" s="93">
        <v>2.6</v>
      </c>
      <c r="L358" s="4"/>
      <c r="M358" s="114" t="s">
        <v>115</v>
      </c>
      <c r="N358" s="88" t="s">
        <v>217</v>
      </c>
      <c r="O358" s="89">
        <v>43841</v>
      </c>
      <c r="P358" s="92" t="s">
        <v>65</v>
      </c>
      <c r="Q358" s="78" t="s">
        <v>105</v>
      </c>
      <c r="R358" s="163"/>
      <c r="S358" s="104"/>
      <c r="T358" s="22"/>
      <c r="U358" s="22"/>
      <c r="V358" s="91"/>
      <c r="X358"/>
      <c r="Y358" s="69"/>
      <c r="Z358"/>
      <c r="AA358" s="33"/>
    </row>
    <row r="359" spans="1:27" s="73" customFormat="1" hidden="1">
      <c r="A359" s="79">
        <v>307</v>
      </c>
      <c r="B359" s="92" t="s">
        <v>7</v>
      </c>
      <c r="C359" s="92">
        <v>4</v>
      </c>
      <c r="D359" s="92" t="s">
        <v>24</v>
      </c>
      <c r="E359" s="92" t="s">
        <v>26</v>
      </c>
      <c r="F359" s="92">
        <v>95</v>
      </c>
      <c r="G359" s="87" t="s">
        <v>68</v>
      </c>
      <c r="H359" s="93">
        <v>1.6</v>
      </c>
      <c r="I359" s="4">
        <v>50</v>
      </c>
      <c r="J359" s="4">
        <f>45+2</f>
        <v>47</v>
      </c>
      <c r="K359" s="93">
        <v>1.6</v>
      </c>
      <c r="L359" s="4"/>
      <c r="M359" s="114" t="s">
        <v>115</v>
      </c>
      <c r="N359" s="88" t="s">
        <v>217</v>
      </c>
      <c r="O359" s="89">
        <v>43841</v>
      </c>
      <c r="P359" s="92" t="s">
        <v>65</v>
      </c>
      <c r="Q359" s="78" t="s">
        <v>105</v>
      </c>
      <c r="R359" s="163"/>
      <c r="S359" s="104"/>
      <c r="T359" s="22"/>
      <c r="U359" s="22"/>
      <c r="V359" s="91" t="s">
        <v>38</v>
      </c>
      <c r="X359"/>
      <c r="Y359" s="69"/>
      <c r="Z359"/>
      <c r="AA359" s="33"/>
    </row>
    <row r="360" spans="1:27" s="73" customFormat="1" hidden="1">
      <c r="A360" s="79">
        <v>308</v>
      </c>
      <c r="B360" s="92" t="s">
        <v>7</v>
      </c>
      <c r="C360" s="92">
        <v>4</v>
      </c>
      <c r="D360" s="92" t="s">
        <v>24</v>
      </c>
      <c r="E360" s="92" t="s">
        <v>26</v>
      </c>
      <c r="F360" s="92">
        <v>97</v>
      </c>
      <c r="G360" s="87" t="s">
        <v>71</v>
      </c>
      <c r="H360" s="93">
        <v>7.2</v>
      </c>
      <c r="I360" s="4">
        <v>256</v>
      </c>
      <c r="J360" s="4">
        <f>225+2</f>
        <v>227</v>
      </c>
      <c r="K360" s="93">
        <v>7.2</v>
      </c>
      <c r="L360" s="4"/>
      <c r="M360" s="114" t="s">
        <v>115</v>
      </c>
      <c r="N360" s="88" t="s">
        <v>217</v>
      </c>
      <c r="O360" s="89">
        <v>43841</v>
      </c>
      <c r="P360" s="92" t="s">
        <v>65</v>
      </c>
      <c r="Q360" s="78" t="s">
        <v>105</v>
      </c>
      <c r="R360" s="163"/>
      <c r="S360" s="104"/>
      <c r="T360" s="22"/>
      <c r="U360" s="22"/>
      <c r="V360" s="91" t="s">
        <v>38</v>
      </c>
      <c r="X360"/>
      <c r="Y360" s="69"/>
      <c r="Z360"/>
      <c r="AA360" s="33"/>
    </row>
    <row r="361" spans="1:27" s="73" customFormat="1" hidden="1">
      <c r="A361" s="79">
        <v>309</v>
      </c>
      <c r="B361" s="92" t="s">
        <v>7</v>
      </c>
      <c r="C361" s="92">
        <v>4</v>
      </c>
      <c r="D361" s="92" t="s">
        <v>24</v>
      </c>
      <c r="E361" s="92" t="s">
        <v>26</v>
      </c>
      <c r="F361" s="92">
        <v>90</v>
      </c>
      <c r="G361" s="87" t="s">
        <v>75</v>
      </c>
      <c r="H361" s="93">
        <v>3.4</v>
      </c>
      <c r="I361" s="4">
        <v>90</v>
      </c>
      <c r="J361" s="4">
        <v>53</v>
      </c>
      <c r="K361" s="93">
        <v>3.4</v>
      </c>
      <c r="L361" s="4"/>
      <c r="M361" s="114" t="s">
        <v>115</v>
      </c>
      <c r="N361" s="88" t="s">
        <v>217</v>
      </c>
      <c r="O361" s="89">
        <v>43841</v>
      </c>
      <c r="P361" s="92" t="s">
        <v>65</v>
      </c>
      <c r="Q361" s="78" t="s">
        <v>105</v>
      </c>
      <c r="R361" s="163"/>
      <c r="S361" s="104"/>
      <c r="T361" s="22"/>
      <c r="U361" s="22"/>
      <c r="V361" s="91" t="s">
        <v>38</v>
      </c>
      <c r="X361"/>
      <c r="Y361" s="69"/>
      <c r="Z361"/>
      <c r="AA361" s="33"/>
    </row>
    <row r="362" spans="1:27" s="73" customFormat="1" hidden="1">
      <c r="A362" s="79">
        <v>310</v>
      </c>
      <c r="B362" s="92" t="s">
        <v>7</v>
      </c>
      <c r="C362" s="92">
        <v>4</v>
      </c>
      <c r="D362" s="92" t="s">
        <v>22</v>
      </c>
      <c r="E362" s="92" t="s">
        <v>26</v>
      </c>
      <c r="F362" s="92">
        <v>122</v>
      </c>
      <c r="G362" s="87" t="s">
        <v>74</v>
      </c>
      <c r="H362" s="93">
        <v>10</v>
      </c>
      <c r="I362" s="4">
        <v>340</v>
      </c>
      <c r="J362" s="4">
        <f>291+10</f>
        <v>301</v>
      </c>
      <c r="K362" s="93">
        <v>10</v>
      </c>
      <c r="L362" s="4"/>
      <c r="M362" s="114" t="s">
        <v>115</v>
      </c>
      <c r="N362" s="88" t="s">
        <v>218</v>
      </c>
      <c r="O362" s="89">
        <v>43841</v>
      </c>
      <c r="P362" s="92" t="s">
        <v>65</v>
      </c>
      <c r="Q362" s="78" t="s">
        <v>105</v>
      </c>
      <c r="R362" s="163">
        <v>7374</v>
      </c>
      <c r="S362" s="104"/>
      <c r="T362" s="22"/>
      <c r="U362" s="22"/>
      <c r="V362" s="91" t="s">
        <v>16</v>
      </c>
      <c r="X362"/>
      <c r="Y362" s="69"/>
      <c r="Z362"/>
      <c r="AA362" s="33"/>
    </row>
    <row r="363" spans="1:27" s="73" customFormat="1" hidden="1">
      <c r="A363" s="79">
        <v>311</v>
      </c>
      <c r="B363" s="92" t="s">
        <v>7</v>
      </c>
      <c r="C363" s="92">
        <v>4</v>
      </c>
      <c r="D363" s="92" t="s">
        <v>22</v>
      </c>
      <c r="E363" s="92" t="s">
        <v>26</v>
      </c>
      <c r="F363" s="92">
        <v>83</v>
      </c>
      <c r="G363" s="87" t="s">
        <v>71</v>
      </c>
      <c r="H363" s="93">
        <v>4.7</v>
      </c>
      <c r="I363" s="4">
        <v>104</v>
      </c>
      <c r="J363" s="78">
        <f>88+4</f>
        <v>92</v>
      </c>
      <c r="K363" s="93">
        <v>4.7</v>
      </c>
      <c r="L363" s="4"/>
      <c r="M363" s="114" t="s">
        <v>115</v>
      </c>
      <c r="N363" s="88" t="s">
        <v>218</v>
      </c>
      <c r="O363" s="89">
        <v>43841</v>
      </c>
      <c r="P363" s="92" t="s">
        <v>65</v>
      </c>
      <c r="Q363" s="78" t="s">
        <v>105</v>
      </c>
      <c r="R363" s="163">
        <v>4723</v>
      </c>
      <c r="S363" s="104"/>
      <c r="T363" s="22"/>
      <c r="U363" s="22"/>
      <c r="V363" s="91" t="s">
        <v>38</v>
      </c>
      <c r="X363"/>
      <c r="Y363" s="69"/>
      <c r="Z363"/>
      <c r="AA363" s="33"/>
    </row>
    <row r="364" spans="1:27" s="73" customFormat="1" hidden="1">
      <c r="A364" s="79">
        <v>312</v>
      </c>
      <c r="B364" s="92" t="s">
        <v>7</v>
      </c>
      <c r="C364" s="92">
        <v>4</v>
      </c>
      <c r="D364" s="92" t="s">
        <v>22</v>
      </c>
      <c r="E364" s="92" t="s">
        <v>26</v>
      </c>
      <c r="F364" s="92">
        <v>84</v>
      </c>
      <c r="G364" s="87" t="s">
        <v>71</v>
      </c>
      <c r="H364" s="93">
        <v>4</v>
      </c>
      <c r="I364" s="4">
        <v>103</v>
      </c>
      <c r="J364" s="4">
        <f>92+1</f>
        <v>93</v>
      </c>
      <c r="K364" s="93">
        <v>4</v>
      </c>
      <c r="L364" s="4"/>
      <c r="M364" s="114" t="s">
        <v>115</v>
      </c>
      <c r="N364" s="88" t="s">
        <v>218</v>
      </c>
      <c r="O364" s="89">
        <v>43841</v>
      </c>
      <c r="P364" s="92" t="s">
        <v>65</v>
      </c>
      <c r="Q364" s="78" t="s">
        <v>105</v>
      </c>
      <c r="R364" s="163">
        <v>1891</v>
      </c>
      <c r="S364" s="104"/>
      <c r="T364" s="22"/>
      <c r="U364" s="22"/>
      <c r="V364" s="91" t="s">
        <v>38</v>
      </c>
      <c r="X364"/>
      <c r="Y364" s="69"/>
      <c r="Z364"/>
      <c r="AA364" s="33"/>
    </row>
    <row r="365" spans="1:27" s="73" customFormat="1" ht="20.25" hidden="1" customHeight="1">
      <c r="A365" s="79">
        <v>313</v>
      </c>
      <c r="B365" s="92" t="s">
        <v>7</v>
      </c>
      <c r="C365" s="92">
        <v>4</v>
      </c>
      <c r="D365" s="92" t="s">
        <v>22</v>
      </c>
      <c r="E365" s="92" t="s">
        <v>26</v>
      </c>
      <c r="F365" s="92">
        <v>92</v>
      </c>
      <c r="G365" s="87" t="s">
        <v>69</v>
      </c>
      <c r="H365" s="93">
        <v>3.1</v>
      </c>
      <c r="I365" s="4">
        <v>153</v>
      </c>
      <c r="J365" s="4">
        <f>117+7</f>
        <v>124</v>
      </c>
      <c r="K365" s="93">
        <v>3.1</v>
      </c>
      <c r="L365" s="4"/>
      <c r="M365" s="114" t="s">
        <v>115</v>
      </c>
      <c r="N365" s="88" t="s">
        <v>218</v>
      </c>
      <c r="O365" s="89">
        <v>43841</v>
      </c>
      <c r="P365" s="92" t="s">
        <v>65</v>
      </c>
      <c r="Q365" s="78" t="s">
        <v>105</v>
      </c>
      <c r="R365" s="163">
        <v>7574</v>
      </c>
      <c r="S365" s="104"/>
      <c r="T365" s="22"/>
      <c r="U365" s="22"/>
      <c r="V365" s="91" t="s">
        <v>16</v>
      </c>
      <c r="X365"/>
      <c r="Y365" s="69"/>
      <c r="Z365"/>
      <c r="AA365" s="33"/>
    </row>
    <row r="366" spans="1:27" s="73" customFormat="1" ht="20.25" hidden="1" customHeight="1">
      <c r="A366" s="79">
        <v>314</v>
      </c>
      <c r="B366" s="92" t="s">
        <v>7</v>
      </c>
      <c r="C366" s="92">
        <v>4</v>
      </c>
      <c r="D366" s="92" t="s">
        <v>32</v>
      </c>
      <c r="E366" s="92" t="s">
        <v>28</v>
      </c>
      <c r="F366" s="92">
        <v>75</v>
      </c>
      <c r="G366" s="87" t="s">
        <v>75</v>
      </c>
      <c r="H366" s="93">
        <v>7.8</v>
      </c>
      <c r="I366" s="4">
        <v>282</v>
      </c>
      <c r="J366" s="4">
        <f>162+3</f>
        <v>165</v>
      </c>
      <c r="K366" s="93">
        <v>7.8</v>
      </c>
      <c r="L366" s="4"/>
      <c r="M366" s="114" t="s">
        <v>115</v>
      </c>
      <c r="N366" s="88" t="s">
        <v>220</v>
      </c>
      <c r="O366" s="89">
        <v>43834</v>
      </c>
      <c r="P366" s="92" t="s">
        <v>65</v>
      </c>
      <c r="Q366" s="78" t="s">
        <v>105</v>
      </c>
      <c r="R366" s="163">
        <v>496</v>
      </c>
      <c r="S366" s="104"/>
      <c r="T366" s="22"/>
      <c r="U366" s="22"/>
      <c r="V366" s="91" t="s">
        <v>16</v>
      </c>
      <c r="X366"/>
      <c r="Y366" s="69"/>
      <c r="Z366"/>
      <c r="AA366" s="33"/>
    </row>
    <row r="367" spans="1:27" s="73" customFormat="1" ht="20.25" hidden="1" customHeight="1">
      <c r="A367" s="79">
        <v>315</v>
      </c>
      <c r="B367" s="92" t="s">
        <v>7</v>
      </c>
      <c r="C367" s="92">
        <v>4</v>
      </c>
      <c r="D367" s="92" t="s">
        <v>32</v>
      </c>
      <c r="E367" s="92" t="s">
        <v>26</v>
      </c>
      <c r="F367" s="92">
        <v>104</v>
      </c>
      <c r="G367" s="87" t="s">
        <v>74</v>
      </c>
      <c r="H367" s="93">
        <v>10.6</v>
      </c>
      <c r="I367" s="4">
        <v>253</v>
      </c>
      <c r="J367" s="4">
        <f>203+11</f>
        <v>214</v>
      </c>
      <c r="K367" s="93">
        <v>10.6</v>
      </c>
      <c r="L367" s="4"/>
      <c r="M367" s="114" t="s">
        <v>115</v>
      </c>
      <c r="N367" s="88" t="s">
        <v>220</v>
      </c>
      <c r="O367" s="89">
        <v>43834</v>
      </c>
      <c r="P367" s="92" t="s">
        <v>65</v>
      </c>
      <c r="Q367" s="78" t="s">
        <v>105</v>
      </c>
      <c r="R367" s="163">
        <v>2225</v>
      </c>
      <c r="S367" s="104"/>
      <c r="T367" s="22"/>
      <c r="U367" s="22"/>
      <c r="V367" s="91" t="s">
        <v>16</v>
      </c>
      <c r="X367"/>
      <c r="Y367" s="69"/>
      <c r="Z367"/>
      <c r="AA367" s="33"/>
    </row>
    <row r="368" spans="1:27" s="73" customFormat="1" ht="20.25" hidden="1" customHeight="1">
      <c r="A368" s="79">
        <v>316</v>
      </c>
      <c r="B368" s="92" t="s">
        <v>7</v>
      </c>
      <c r="C368" s="92">
        <v>4</v>
      </c>
      <c r="D368" s="92" t="s">
        <v>32</v>
      </c>
      <c r="E368" s="92" t="s">
        <v>26</v>
      </c>
      <c r="F368" s="92">
        <v>115</v>
      </c>
      <c r="G368" s="87" t="s">
        <v>69</v>
      </c>
      <c r="H368" s="93">
        <v>1.4</v>
      </c>
      <c r="I368" s="4">
        <v>34</v>
      </c>
      <c r="J368" s="4">
        <v>28</v>
      </c>
      <c r="K368" s="93">
        <v>1.4</v>
      </c>
      <c r="L368" s="4"/>
      <c r="M368" s="114" t="s">
        <v>115</v>
      </c>
      <c r="N368" s="88" t="s">
        <v>220</v>
      </c>
      <c r="O368" s="89">
        <v>43834</v>
      </c>
      <c r="P368" s="92" t="s">
        <v>65</v>
      </c>
      <c r="Q368" s="78" t="s">
        <v>105</v>
      </c>
      <c r="R368" s="163">
        <v>97</v>
      </c>
      <c r="S368" s="104"/>
      <c r="T368" s="22"/>
      <c r="U368" s="22"/>
      <c r="V368" s="91" t="s">
        <v>38</v>
      </c>
      <c r="X368"/>
      <c r="Y368" s="69"/>
      <c r="Z368"/>
      <c r="AA368" s="33"/>
    </row>
    <row r="369" spans="1:27" s="73" customFormat="1" ht="20.25" hidden="1" customHeight="1">
      <c r="A369" s="79">
        <v>317</v>
      </c>
      <c r="B369" s="92" t="s">
        <v>7</v>
      </c>
      <c r="C369" s="92">
        <v>4</v>
      </c>
      <c r="D369" s="92" t="s">
        <v>32</v>
      </c>
      <c r="E369" s="92" t="s">
        <v>26</v>
      </c>
      <c r="F369" s="92">
        <v>117</v>
      </c>
      <c r="G369" s="87" t="s">
        <v>74</v>
      </c>
      <c r="H369" s="93">
        <v>2.4</v>
      </c>
      <c r="I369" s="4">
        <v>48</v>
      </c>
      <c r="J369" s="4">
        <f>43+1</f>
        <v>44</v>
      </c>
      <c r="K369" s="93">
        <v>2.4</v>
      </c>
      <c r="L369" s="4"/>
      <c r="M369" s="114" t="s">
        <v>115</v>
      </c>
      <c r="N369" s="88" t="s">
        <v>220</v>
      </c>
      <c r="O369" s="89">
        <v>43834</v>
      </c>
      <c r="P369" s="92" t="s">
        <v>65</v>
      </c>
      <c r="Q369" s="78" t="s">
        <v>105</v>
      </c>
      <c r="R369" s="163">
        <v>814</v>
      </c>
      <c r="S369" s="104"/>
      <c r="T369" s="22"/>
      <c r="U369" s="22"/>
      <c r="V369" s="91" t="s">
        <v>38</v>
      </c>
      <c r="X369"/>
      <c r="Y369" s="69"/>
      <c r="Z369"/>
      <c r="AA369" s="33"/>
    </row>
    <row r="370" spans="1:27" s="73" customFormat="1" ht="20.25" hidden="1" customHeight="1">
      <c r="A370" s="79">
        <v>318</v>
      </c>
      <c r="B370" s="92" t="s">
        <v>7</v>
      </c>
      <c r="C370" s="92">
        <v>4</v>
      </c>
      <c r="D370" s="92" t="s">
        <v>32</v>
      </c>
      <c r="E370" s="92" t="s">
        <v>26</v>
      </c>
      <c r="F370" s="92">
        <v>117</v>
      </c>
      <c r="G370" s="87" t="s">
        <v>85</v>
      </c>
      <c r="H370" s="93">
        <v>2.1</v>
      </c>
      <c r="I370" s="4">
        <v>46</v>
      </c>
      <c r="J370" s="4">
        <v>42</v>
      </c>
      <c r="K370" s="93">
        <v>2.1</v>
      </c>
      <c r="L370" s="4"/>
      <c r="M370" s="114" t="s">
        <v>115</v>
      </c>
      <c r="N370" s="88" t="s">
        <v>220</v>
      </c>
      <c r="O370" s="89">
        <v>43834</v>
      </c>
      <c r="P370" s="92" t="s">
        <v>65</v>
      </c>
      <c r="Q370" s="78" t="s">
        <v>105</v>
      </c>
      <c r="R370" s="163">
        <v>172</v>
      </c>
      <c r="S370" s="104"/>
      <c r="T370" s="22"/>
      <c r="U370" s="22"/>
      <c r="V370" s="91" t="s">
        <v>38</v>
      </c>
      <c r="X370"/>
      <c r="Y370" s="69"/>
      <c r="Z370"/>
      <c r="AA370" s="33"/>
    </row>
    <row r="371" spans="1:27" s="73" customFormat="1" ht="20.25" hidden="1" customHeight="1">
      <c r="A371" s="79">
        <v>319</v>
      </c>
      <c r="B371" s="92" t="s">
        <v>7</v>
      </c>
      <c r="C371" s="92">
        <v>4</v>
      </c>
      <c r="D371" s="92" t="s">
        <v>32</v>
      </c>
      <c r="E371" s="92" t="s">
        <v>26</v>
      </c>
      <c r="F371" s="92">
        <v>117</v>
      </c>
      <c r="G371" s="87" t="s">
        <v>75</v>
      </c>
      <c r="H371" s="93">
        <v>2.4</v>
      </c>
      <c r="I371" s="4">
        <v>30</v>
      </c>
      <c r="J371" s="4">
        <v>28</v>
      </c>
      <c r="K371" s="93">
        <v>2.4</v>
      </c>
      <c r="L371" s="4"/>
      <c r="M371" s="114" t="s">
        <v>115</v>
      </c>
      <c r="N371" s="88" t="s">
        <v>220</v>
      </c>
      <c r="O371" s="89">
        <v>43834</v>
      </c>
      <c r="P371" s="92" t="s">
        <v>65</v>
      </c>
      <c r="Q371" s="78" t="s">
        <v>105</v>
      </c>
      <c r="R371" s="163">
        <v>493</v>
      </c>
      <c r="S371" s="104"/>
      <c r="T371" s="22"/>
      <c r="U371" s="22"/>
      <c r="V371" s="91" t="s">
        <v>38</v>
      </c>
      <c r="X371"/>
      <c r="Y371" s="69"/>
      <c r="Z371"/>
      <c r="AA371" s="33"/>
    </row>
    <row r="372" spans="1:27" s="73" customFormat="1" ht="20.25" hidden="1" customHeight="1">
      <c r="A372" s="79">
        <v>320</v>
      </c>
      <c r="B372" s="92" t="s">
        <v>7</v>
      </c>
      <c r="C372" s="92">
        <v>3</v>
      </c>
      <c r="D372" s="92" t="s">
        <v>32</v>
      </c>
      <c r="E372" s="92" t="s">
        <v>26</v>
      </c>
      <c r="F372" s="92">
        <v>70</v>
      </c>
      <c r="G372" s="87" t="s">
        <v>219</v>
      </c>
      <c r="H372" s="93">
        <v>0.6</v>
      </c>
      <c r="I372" s="4">
        <v>72</v>
      </c>
      <c r="J372" s="4">
        <v>42</v>
      </c>
      <c r="K372" s="93">
        <v>0.6</v>
      </c>
      <c r="L372" s="4"/>
      <c r="M372" s="114" t="s">
        <v>115</v>
      </c>
      <c r="N372" s="88" t="s">
        <v>220</v>
      </c>
      <c r="O372" s="89">
        <v>43834</v>
      </c>
      <c r="P372" s="92" t="s">
        <v>65</v>
      </c>
      <c r="Q372" s="78" t="s">
        <v>105</v>
      </c>
      <c r="R372" s="163">
        <v>131</v>
      </c>
      <c r="S372" s="104"/>
      <c r="T372" s="22"/>
      <c r="U372" s="22"/>
      <c r="V372" s="91" t="s">
        <v>16</v>
      </c>
      <c r="X372"/>
      <c r="Y372" s="69"/>
      <c r="Z372"/>
      <c r="AA372" s="33"/>
    </row>
    <row r="373" spans="1:27" s="73" customFormat="1" ht="20.25" hidden="1" customHeight="1">
      <c r="A373" s="79">
        <v>321</v>
      </c>
      <c r="B373" s="92" t="s">
        <v>7</v>
      </c>
      <c r="C373" s="92">
        <v>4</v>
      </c>
      <c r="D373" s="92" t="s">
        <v>32</v>
      </c>
      <c r="E373" s="92" t="s">
        <v>28</v>
      </c>
      <c r="F373" s="92">
        <v>71</v>
      </c>
      <c r="G373" s="87" t="s">
        <v>69</v>
      </c>
      <c r="H373" s="93">
        <v>0.4</v>
      </c>
      <c r="I373" s="4">
        <v>31</v>
      </c>
      <c r="J373" s="4">
        <v>23</v>
      </c>
      <c r="K373" s="93">
        <v>0.4</v>
      </c>
      <c r="L373" s="4"/>
      <c r="M373" s="114" t="s">
        <v>115</v>
      </c>
      <c r="N373" s="88" t="s">
        <v>220</v>
      </c>
      <c r="O373" s="89">
        <v>43834</v>
      </c>
      <c r="P373" s="92" t="s">
        <v>65</v>
      </c>
      <c r="Q373" s="78" t="s">
        <v>105</v>
      </c>
      <c r="R373" s="163">
        <v>63</v>
      </c>
      <c r="S373" s="104"/>
      <c r="T373" s="22"/>
      <c r="U373" s="22"/>
      <c r="V373" s="91" t="s">
        <v>16</v>
      </c>
      <c r="X373"/>
      <c r="Y373" s="69"/>
      <c r="Z373"/>
      <c r="AA373" s="33"/>
    </row>
    <row r="374" spans="1:27" s="73" customFormat="1" ht="20.25" hidden="1" customHeight="1">
      <c r="A374" s="79">
        <v>322</v>
      </c>
      <c r="B374" s="92" t="s">
        <v>7</v>
      </c>
      <c r="C374" s="92">
        <v>4</v>
      </c>
      <c r="D374" s="92" t="s">
        <v>32</v>
      </c>
      <c r="E374" s="92" t="s">
        <v>26</v>
      </c>
      <c r="F374" s="92">
        <v>72</v>
      </c>
      <c r="G374" s="87" t="s">
        <v>78</v>
      </c>
      <c r="H374" s="93">
        <v>13</v>
      </c>
      <c r="I374" s="4">
        <v>268</v>
      </c>
      <c r="J374" s="4">
        <f>153+9</f>
        <v>162</v>
      </c>
      <c r="K374" s="93">
        <v>13</v>
      </c>
      <c r="L374" s="4"/>
      <c r="M374" s="114" t="s">
        <v>115</v>
      </c>
      <c r="N374" s="88" t="s">
        <v>220</v>
      </c>
      <c r="O374" s="89">
        <v>43834</v>
      </c>
      <c r="P374" s="92" t="s">
        <v>65</v>
      </c>
      <c r="Q374" s="78" t="s">
        <v>105</v>
      </c>
      <c r="R374" s="163">
        <v>617</v>
      </c>
      <c r="S374" s="104"/>
      <c r="T374" s="22"/>
      <c r="U374" s="22"/>
      <c r="V374" s="91" t="s">
        <v>16</v>
      </c>
      <c r="X374"/>
      <c r="Y374" s="69"/>
      <c r="Z374"/>
      <c r="AA374" s="33"/>
    </row>
    <row r="375" spans="1:27" s="73" customFormat="1" ht="20.25" hidden="1" customHeight="1">
      <c r="A375" s="79">
        <v>323</v>
      </c>
      <c r="B375" s="92" t="s">
        <v>7</v>
      </c>
      <c r="C375" s="92">
        <v>4</v>
      </c>
      <c r="D375" s="92" t="s">
        <v>32</v>
      </c>
      <c r="E375" s="92" t="s">
        <v>26</v>
      </c>
      <c r="F375" s="92">
        <v>73</v>
      </c>
      <c r="G375" s="87" t="s">
        <v>71</v>
      </c>
      <c r="H375" s="93">
        <v>10.199999999999999</v>
      </c>
      <c r="I375" s="4">
        <v>124</v>
      </c>
      <c r="J375" s="4">
        <f>93+4</f>
        <v>97</v>
      </c>
      <c r="K375" s="93">
        <v>10.199999999999999</v>
      </c>
      <c r="L375" s="4"/>
      <c r="M375" s="114" t="s">
        <v>115</v>
      </c>
      <c r="N375" s="88" t="s">
        <v>220</v>
      </c>
      <c r="O375" s="89">
        <v>43834</v>
      </c>
      <c r="P375" s="92" t="s">
        <v>65</v>
      </c>
      <c r="Q375" s="78" t="s">
        <v>105</v>
      </c>
      <c r="R375" s="163">
        <v>885</v>
      </c>
      <c r="S375" s="104"/>
      <c r="T375" s="22"/>
      <c r="U375" s="22"/>
      <c r="V375" s="91" t="s">
        <v>16</v>
      </c>
      <c r="X375"/>
      <c r="Y375" s="69"/>
      <c r="Z375"/>
      <c r="AA375" s="33"/>
    </row>
    <row r="376" spans="1:27" s="73" customFormat="1" ht="20.25" hidden="1" customHeight="1">
      <c r="A376" s="79">
        <v>324</v>
      </c>
      <c r="B376" s="92" t="s">
        <v>7</v>
      </c>
      <c r="C376" s="92">
        <v>3</v>
      </c>
      <c r="D376" s="92" t="s">
        <v>32</v>
      </c>
      <c r="E376" s="92" t="s">
        <v>26</v>
      </c>
      <c r="F376" s="92">
        <v>74</v>
      </c>
      <c r="G376" s="87" t="s">
        <v>79</v>
      </c>
      <c r="H376" s="93">
        <v>1.4</v>
      </c>
      <c r="I376" s="4">
        <v>25</v>
      </c>
      <c r="J376" s="4">
        <v>23</v>
      </c>
      <c r="K376" s="93">
        <v>1.4</v>
      </c>
      <c r="L376" s="4"/>
      <c r="M376" s="114" t="s">
        <v>115</v>
      </c>
      <c r="N376" s="88" t="s">
        <v>220</v>
      </c>
      <c r="O376" s="89">
        <v>43834</v>
      </c>
      <c r="P376" s="92" t="s">
        <v>65</v>
      </c>
      <c r="Q376" s="78" t="s">
        <v>105</v>
      </c>
      <c r="R376" s="163">
        <v>94</v>
      </c>
      <c r="S376" s="104"/>
      <c r="T376" s="22"/>
      <c r="U376" s="22"/>
      <c r="V376" s="91"/>
      <c r="X376"/>
      <c r="Y376" s="69"/>
      <c r="Z376"/>
      <c r="AA376" s="33"/>
    </row>
    <row r="377" spans="1:27" s="73" customFormat="1" ht="20.25" hidden="1" customHeight="1">
      <c r="A377" s="79">
        <v>325</v>
      </c>
      <c r="B377" s="92" t="s">
        <v>7</v>
      </c>
      <c r="C377" s="92">
        <v>4</v>
      </c>
      <c r="D377" s="92" t="s">
        <v>32</v>
      </c>
      <c r="E377" s="92" t="s">
        <v>28</v>
      </c>
      <c r="F377" s="92">
        <v>76</v>
      </c>
      <c r="G377" s="87" t="s">
        <v>75</v>
      </c>
      <c r="H377" s="93">
        <v>4.2</v>
      </c>
      <c r="I377" s="4">
        <v>87</v>
      </c>
      <c r="J377" s="4">
        <v>51</v>
      </c>
      <c r="K377" s="93">
        <v>4.2</v>
      </c>
      <c r="L377" s="4"/>
      <c r="M377" s="114" t="s">
        <v>115</v>
      </c>
      <c r="N377" s="88" t="s">
        <v>220</v>
      </c>
      <c r="O377" s="89">
        <v>43834</v>
      </c>
      <c r="P377" s="92" t="s">
        <v>65</v>
      </c>
      <c r="Q377" s="78" t="s">
        <v>105</v>
      </c>
      <c r="R377" s="163">
        <v>162</v>
      </c>
      <c r="S377" s="104"/>
      <c r="T377" s="22"/>
      <c r="U377" s="22"/>
      <c r="V377" s="91"/>
      <c r="X377"/>
      <c r="Y377" s="69"/>
      <c r="Z377"/>
      <c r="AA377" s="33"/>
    </row>
    <row r="378" spans="1:27" s="73" customFormat="1" ht="20.25" hidden="1" customHeight="1">
      <c r="A378" s="79">
        <v>326</v>
      </c>
      <c r="B378" s="92" t="s">
        <v>7</v>
      </c>
      <c r="C378" s="92">
        <v>3</v>
      </c>
      <c r="D378" s="92" t="s">
        <v>32</v>
      </c>
      <c r="E378" s="92" t="s">
        <v>28</v>
      </c>
      <c r="F378" s="92">
        <v>78</v>
      </c>
      <c r="G378" s="87" t="s">
        <v>77</v>
      </c>
      <c r="H378" s="93">
        <v>6.6</v>
      </c>
      <c r="I378" s="4">
        <v>91</v>
      </c>
      <c r="J378" s="4">
        <f>73+1</f>
        <v>74</v>
      </c>
      <c r="K378" s="4">
        <v>6.6</v>
      </c>
      <c r="L378" s="93"/>
      <c r="M378" s="114" t="s">
        <v>115</v>
      </c>
      <c r="N378" s="88" t="s">
        <v>220</v>
      </c>
      <c r="O378" s="89">
        <v>43834</v>
      </c>
      <c r="P378" s="92" t="s">
        <v>65</v>
      </c>
      <c r="Q378" s="78" t="s">
        <v>105</v>
      </c>
      <c r="R378" s="163">
        <v>273</v>
      </c>
      <c r="S378" s="104"/>
      <c r="T378" s="22"/>
      <c r="U378" s="22"/>
      <c r="V378" s="91" t="s">
        <v>38</v>
      </c>
      <c r="X378"/>
      <c r="Y378" s="69"/>
      <c r="Z378"/>
      <c r="AA378" s="33"/>
    </row>
    <row r="379" spans="1:27" s="73" customFormat="1" ht="20.25" hidden="1" customHeight="1">
      <c r="A379" s="79">
        <v>327</v>
      </c>
      <c r="B379" s="92" t="s">
        <v>7</v>
      </c>
      <c r="C379" s="92">
        <v>3</v>
      </c>
      <c r="D379" s="92" t="s">
        <v>251</v>
      </c>
      <c r="E379" s="92" t="s">
        <v>28</v>
      </c>
      <c r="F379" s="92">
        <v>81</v>
      </c>
      <c r="G379" s="87" t="s">
        <v>67</v>
      </c>
      <c r="H379" s="93">
        <v>0.1</v>
      </c>
      <c r="I379" s="4">
        <v>17</v>
      </c>
      <c r="J379" s="4">
        <v>15</v>
      </c>
      <c r="K379" s="4"/>
      <c r="L379" s="93">
        <v>0.1</v>
      </c>
      <c r="M379" s="114" t="s">
        <v>115</v>
      </c>
      <c r="N379" s="88" t="s">
        <v>250</v>
      </c>
      <c r="O379" s="89">
        <v>43860</v>
      </c>
      <c r="P379" s="92" t="s">
        <v>65</v>
      </c>
      <c r="Q379" s="78" t="s">
        <v>105</v>
      </c>
      <c r="R379" s="163">
        <v>247</v>
      </c>
      <c r="S379" s="104"/>
      <c r="T379" s="22"/>
      <c r="U379" s="22"/>
      <c r="V379" s="91"/>
      <c r="X379"/>
      <c r="Y379" s="69"/>
      <c r="Z379"/>
      <c r="AA379" s="33"/>
    </row>
    <row r="380" spans="1:27" s="73" customFormat="1" ht="19.5" customHeight="1">
      <c r="A380" s="79"/>
      <c r="B380" s="447" t="s">
        <v>7</v>
      </c>
      <c r="C380" s="448"/>
      <c r="D380" s="92" t="s">
        <v>286</v>
      </c>
      <c r="E380" s="92"/>
      <c r="F380" s="92"/>
      <c r="G380" s="87"/>
      <c r="H380" s="93"/>
      <c r="I380" s="4"/>
      <c r="J380" s="163">
        <f>J362+J363+J364+J365</f>
        <v>610</v>
      </c>
      <c r="K380" s="4"/>
      <c r="L380" s="93"/>
      <c r="M380" s="114"/>
      <c r="N380" s="88"/>
      <c r="O380" s="89"/>
      <c r="P380" s="92" t="s">
        <v>65</v>
      </c>
      <c r="Q380" s="78" t="s">
        <v>105</v>
      </c>
      <c r="R380" s="163">
        <f>R362+R363+R364+R365</f>
        <v>21562</v>
      </c>
      <c r="S380" s="104"/>
      <c r="T380" s="22"/>
      <c r="U380" s="22"/>
      <c r="V380" s="91"/>
      <c r="X380"/>
      <c r="Y380" s="69"/>
      <c r="Z380"/>
      <c r="AA380" s="33"/>
    </row>
    <row r="381" spans="1:27" s="73" customFormat="1" ht="19.5" customHeight="1">
      <c r="A381" s="79"/>
      <c r="B381" s="449"/>
      <c r="C381" s="450"/>
      <c r="D381" s="92" t="s">
        <v>284</v>
      </c>
      <c r="E381" s="92"/>
      <c r="F381" s="92"/>
      <c r="G381" s="87"/>
      <c r="H381" s="93"/>
      <c r="I381" s="4"/>
      <c r="J381" s="163">
        <f>J366+J367+J368+J369+J370+J371+J372+J373+J374+J375+J376+J377+J378</f>
        <v>993</v>
      </c>
      <c r="K381" s="4"/>
      <c r="L381" s="93"/>
      <c r="M381" s="114"/>
      <c r="N381" s="88"/>
      <c r="O381" s="89"/>
      <c r="P381" s="92" t="s">
        <v>65</v>
      </c>
      <c r="Q381" s="78" t="s">
        <v>105</v>
      </c>
      <c r="R381" s="163">
        <f>R366+R367+R368+R369+R370+R371+R372+R373+R374+R375+R376+R377+R378</f>
        <v>6522</v>
      </c>
      <c r="S381" s="104"/>
      <c r="T381" s="22"/>
      <c r="U381" s="22"/>
      <c r="V381" s="91"/>
      <c r="X381"/>
      <c r="Y381" s="69"/>
      <c r="Z381"/>
      <c r="AA381" s="33"/>
    </row>
    <row r="382" spans="1:27" s="73" customFormat="1" ht="19.5" customHeight="1">
      <c r="A382" s="79"/>
      <c r="B382" s="451"/>
      <c r="C382" s="452"/>
      <c r="D382" s="92" t="s">
        <v>285</v>
      </c>
      <c r="E382" s="92"/>
      <c r="F382" s="92"/>
      <c r="G382" s="87"/>
      <c r="H382" s="93"/>
      <c r="I382" s="4"/>
      <c r="J382" s="163">
        <f>J379</f>
        <v>15</v>
      </c>
      <c r="K382" s="4"/>
      <c r="L382" s="93"/>
      <c r="M382" s="114"/>
      <c r="N382" s="88"/>
      <c r="O382" s="89"/>
      <c r="P382" s="92" t="s">
        <v>65</v>
      </c>
      <c r="Q382" s="78" t="s">
        <v>105</v>
      </c>
      <c r="R382" s="163">
        <f>R379</f>
        <v>247</v>
      </c>
      <c r="S382" s="104"/>
      <c r="T382" s="22"/>
      <c r="U382" s="22"/>
      <c r="V382" s="91"/>
      <c r="X382"/>
      <c r="Y382" s="69"/>
      <c r="Z382"/>
      <c r="AA382" s="33"/>
    </row>
    <row r="383" spans="1:27" s="73" customFormat="1" ht="20.25" hidden="1" customHeight="1">
      <c r="A383" s="79">
        <v>328</v>
      </c>
      <c r="B383" s="92" t="s">
        <v>7</v>
      </c>
      <c r="C383" s="92">
        <v>3</v>
      </c>
      <c r="D383" s="92" t="s">
        <v>275</v>
      </c>
      <c r="E383" s="92" t="s">
        <v>128</v>
      </c>
      <c r="F383" s="92">
        <v>85</v>
      </c>
      <c r="G383" s="87" t="s">
        <v>80</v>
      </c>
      <c r="H383" s="93">
        <v>0.2</v>
      </c>
      <c r="I383" s="4">
        <v>1</v>
      </c>
      <c r="J383" s="4"/>
      <c r="K383" s="4">
        <v>0.2</v>
      </c>
      <c r="L383" s="93"/>
      <c r="M383" s="114" t="s">
        <v>115</v>
      </c>
      <c r="N383" s="88" t="s">
        <v>276</v>
      </c>
      <c r="O383" s="89">
        <v>43887</v>
      </c>
      <c r="P383" s="92" t="s">
        <v>65</v>
      </c>
      <c r="Q383" s="78" t="s">
        <v>105</v>
      </c>
      <c r="R383" s="163"/>
      <c r="S383" s="104"/>
      <c r="T383" s="22"/>
      <c r="U383" s="22"/>
      <c r="V383" s="91"/>
      <c r="X383"/>
      <c r="Y383" s="69"/>
      <c r="Z383"/>
      <c r="AA383" s="33"/>
    </row>
    <row r="384" spans="1:27" s="73" customFormat="1" ht="20.25" hidden="1" customHeight="1">
      <c r="A384" s="79">
        <v>329</v>
      </c>
      <c r="B384" s="92" t="s">
        <v>7</v>
      </c>
      <c r="C384" s="92">
        <v>3</v>
      </c>
      <c r="D384" s="92" t="s">
        <v>275</v>
      </c>
      <c r="E384" s="92" t="s">
        <v>128</v>
      </c>
      <c r="F384" s="92">
        <v>86</v>
      </c>
      <c r="G384" s="87" t="s">
        <v>68</v>
      </c>
      <c r="H384" s="93">
        <v>0.4</v>
      </c>
      <c r="I384" s="4">
        <v>1</v>
      </c>
      <c r="J384" s="4"/>
      <c r="K384" s="4">
        <v>0.4</v>
      </c>
      <c r="L384" s="93"/>
      <c r="M384" s="114" t="s">
        <v>115</v>
      </c>
      <c r="N384" s="88" t="s">
        <v>276</v>
      </c>
      <c r="O384" s="89">
        <v>43887</v>
      </c>
      <c r="P384" s="92" t="s">
        <v>65</v>
      </c>
      <c r="Q384" s="78" t="s">
        <v>105</v>
      </c>
      <c r="R384" s="163"/>
      <c r="S384" s="104"/>
      <c r="T384" s="22"/>
      <c r="U384" s="22"/>
      <c r="V384" s="91"/>
      <c r="X384"/>
      <c r="Y384" s="69"/>
      <c r="Z384"/>
      <c r="AA384" s="33"/>
    </row>
    <row r="385" spans="1:27" s="73" customFormat="1" ht="20.25" hidden="1" customHeight="1">
      <c r="A385" s="79">
        <v>330</v>
      </c>
      <c r="B385" s="92" t="s">
        <v>7</v>
      </c>
      <c r="C385" s="92">
        <v>3</v>
      </c>
      <c r="D385" s="92" t="s">
        <v>275</v>
      </c>
      <c r="E385" s="92" t="s">
        <v>128</v>
      </c>
      <c r="F385" s="92">
        <v>87</v>
      </c>
      <c r="G385" s="87" t="s">
        <v>85</v>
      </c>
      <c r="H385" s="93">
        <v>0.1</v>
      </c>
      <c r="I385" s="4">
        <v>1</v>
      </c>
      <c r="J385" s="4"/>
      <c r="K385" s="4">
        <v>0.1</v>
      </c>
      <c r="L385" s="93"/>
      <c r="M385" s="114" t="s">
        <v>115</v>
      </c>
      <c r="N385" s="88" t="s">
        <v>276</v>
      </c>
      <c r="O385" s="89">
        <v>43887</v>
      </c>
      <c r="P385" s="92" t="s">
        <v>65</v>
      </c>
      <c r="Q385" s="78" t="s">
        <v>105</v>
      </c>
      <c r="R385" s="163"/>
      <c r="S385" s="104"/>
      <c r="T385" s="22"/>
      <c r="U385" s="22"/>
      <c r="V385" s="91"/>
      <c r="X385"/>
      <c r="Y385" s="69"/>
      <c r="Z385"/>
      <c r="AA385" s="33"/>
    </row>
    <row r="386" spans="1:27" s="73" customFormat="1" ht="20.25" hidden="1" customHeight="1">
      <c r="A386" s="79">
        <v>331</v>
      </c>
      <c r="B386" s="92" t="s">
        <v>7</v>
      </c>
      <c r="C386" s="92">
        <v>3</v>
      </c>
      <c r="D386" s="92" t="s">
        <v>275</v>
      </c>
      <c r="E386" s="92" t="s">
        <v>128</v>
      </c>
      <c r="F386" s="92">
        <v>88</v>
      </c>
      <c r="G386" s="87" t="s">
        <v>89</v>
      </c>
      <c r="H386" s="93">
        <v>0.4</v>
      </c>
      <c r="I386" s="4">
        <v>1</v>
      </c>
      <c r="J386" s="4"/>
      <c r="K386" s="4">
        <v>0.4</v>
      </c>
      <c r="L386" s="93"/>
      <c r="M386" s="114" t="s">
        <v>115</v>
      </c>
      <c r="N386" s="88" t="s">
        <v>276</v>
      </c>
      <c r="O386" s="89">
        <v>43887</v>
      </c>
      <c r="P386" s="92" t="s">
        <v>65</v>
      </c>
      <c r="Q386" s="78" t="s">
        <v>105</v>
      </c>
      <c r="R386" s="163"/>
      <c r="S386" s="104"/>
      <c r="T386" s="22"/>
      <c r="U386" s="22"/>
      <c r="V386" s="91"/>
      <c r="X386"/>
      <c r="Y386" s="69"/>
      <c r="Z386"/>
      <c r="AA386" s="33"/>
    </row>
    <row r="387" spans="1:27" s="73" customFormat="1" ht="20.25" hidden="1" customHeight="1">
      <c r="A387" s="79">
        <v>332</v>
      </c>
      <c r="B387" s="92" t="s">
        <v>7</v>
      </c>
      <c r="C387" s="92">
        <v>3</v>
      </c>
      <c r="D387" s="92" t="s">
        <v>275</v>
      </c>
      <c r="E387" s="92" t="s">
        <v>128</v>
      </c>
      <c r="F387" s="92">
        <v>89</v>
      </c>
      <c r="G387" s="87" t="s">
        <v>88</v>
      </c>
      <c r="H387" s="93">
        <v>0.4</v>
      </c>
      <c r="I387" s="4">
        <v>1</v>
      </c>
      <c r="J387" s="4"/>
      <c r="K387" s="4">
        <v>0.4</v>
      </c>
      <c r="L387" s="93"/>
      <c r="M387" s="114" t="s">
        <v>115</v>
      </c>
      <c r="N387" s="88" t="s">
        <v>276</v>
      </c>
      <c r="O387" s="89">
        <v>43887</v>
      </c>
      <c r="P387" s="92" t="s">
        <v>65</v>
      </c>
      <c r="Q387" s="78" t="s">
        <v>105</v>
      </c>
      <c r="R387" s="163"/>
      <c r="S387" s="104"/>
      <c r="T387" s="22"/>
      <c r="U387" s="22"/>
      <c r="V387" s="91"/>
      <c r="X387"/>
      <c r="Y387" s="69"/>
      <c r="Z387"/>
      <c r="AA387" s="33"/>
    </row>
    <row r="388" spans="1:27" s="73" customFormat="1" ht="20.25" hidden="1" customHeight="1">
      <c r="A388" s="79">
        <v>333</v>
      </c>
      <c r="B388" s="92" t="s">
        <v>7</v>
      </c>
      <c r="C388" s="92">
        <v>3</v>
      </c>
      <c r="D388" s="92" t="s">
        <v>277</v>
      </c>
      <c r="E388" s="92" t="s">
        <v>128</v>
      </c>
      <c r="F388" s="92">
        <v>105</v>
      </c>
      <c r="G388" s="87" t="s">
        <v>80</v>
      </c>
      <c r="H388" s="93">
        <v>0.3</v>
      </c>
      <c r="I388" s="4">
        <v>1</v>
      </c>
      <c r="J388" s="4"/>
      <c r="K388" s="4">
        <v>0.3</v>
      </c>
      <c r="L388" s="93"/>
      <c r="M388" s="114" t="s">
        <v>115</v>
      </c>
      <c r="N388" s="88" t="s">
        <v>278</v>
      </c>
      <c r="O388" s="89">
        <v>43887</v>
      </c>
      <c r="P388" s="92" t="s">
        <v>65</v>
      </c>
      <c r="Q388" s="78" t="s">
        <v>105</v>
      </c>
      <c r="R388" s="163"/>
      <c r="S388" s="104"/>
      <c r="T388" s="22"/>
      <c r="U388" s="22"/>
      <c r="V388" s="91"/>
      <c r="X388"/>
      <c r="Y388" s="69"/>
      <c r="Z388"/>
      <c r="AA388" s="33"/>
    </row>
    <row r="389" spans="1:27" s="73" customFormat="1" ht="20.25" hidden="1" customHeight="1">
      <c r="A389" s="79">
        <v>334</v>
      </c>
      <c r="B389" s="92" t="s">
        <v>7</v>
      </c>
      <c r="C389" s="92">
        <v>3</v>
      </c>
      <c r="D389" s="92" t="s">
        <v>277</v>
      </c>
      <c r="E389" s="92" t="s">
        <v>128</v>
      </c>
      <c r="F389" s="92">
        <v>106</v>
      </c>
      <c r="G389" s="87" t="s">
        <v>89</v>
      </c>
      <c r="H389" s="93">
        <v>0.3</v>
      </c>
      <c r="I389" s="4">
        <v>1</v>
      </c>
      <c r="J389" s="4"/>
      <c r="K389" s="4">
        <v>0.3</v>
      </c>
      <c r="L389" s="93"/>
      <c r="M389" s="114" t="s">
        <v>115</v>
      </c>
      <c r="N389" s="88" t="s">
        <v>278</v>
      </c>
      <c r="O389" s="89">
        <v>43887</v>
      </c>
      <c r="P389" s="92" t="s">
        <v>65</v>
      </c>
      <c r="Q389" s="78" t="s">
        <v>105</v>
      </c>
      <c r="R389" s="163"/>
      <c r="S389" s="104"/>
      <c r="T389" s="22"/>
      <c r="U389" s="22"/>
      <c r="V389" s="91"/>
      <c r="X389"/>
      <c r="Y389" s="69"/>
      <c r="Z389"/>
      <c r="AA389" s="33"/>
    </row>
    <row r="390" spans="1:27" s="73" customFormat="1" ht="20.25" hidden="1" customHeight="1">
      <c r="A390" s="79">
        <v>335</v>
      </c>
      <c r="B390" s="92" t="s">
        <v>7</v>
      </c>
      <c r="C390" s="92">
        <v>3</v>
      </c>
      <c r="D390" s="92" t="s">
        <v>277</v>
      </c>
      <c r="E390" s="92" t="s">
        <v>128</v>
      </c>
      <c r="F390" s="92">
        <v>78</v>
      </c>
      <c r="G390" s="87" t="s">
        <v>89</v>
      </c>
      <c r="H390" s="93">
        <v>0.3</v>
      </c>
      <c r="I390" s="4">
        <v>2</v>
      </c>
      <c r="J390" s="4"/>
      <c r="K390" s="4">
        <v>0.3</v>
      </c>
      <c r="L390" s="93"/>
      <c r="M390" s="114" t="s">
        <v>115</v>
      </c>
      <c r="N390" s="88" t="s">
        <v>278</v>
      </c>
      <c r="O390" s="89">
        <v>43887</v>
      </c>
      <c r="P390" s="92" t="s">
        <v>65</v>
      </c>
      <c r="Q390" s="78" t="s">
        <v>105</v>
      </c>
      <c r="R390" s="163"/>
      <c r="S390" s="104"/>
      <c r="T390" s="22"/>
      <c r="U390" s="22"/>
      <c r="V390" s="91"/>
      <c r="X390"/>
      <c r="Y390" s="69"/>
      <c r="Z390"/>
      <c r="AA390" s="33"/>
    </row>
    <row r="391" spans="1:27" s="73" customFormat="1" ht="20.25" hidden="1" customHeight="1">
      <c r="A391" s="79">
        <v>336</v>
      </c>
      <c r="B391" s="92" t="s">
        <v>7</v>
      </c>
      <c r="C391" s="92">
        <v>3</v>
      </c>
      <c r="D391" s="92" t="s">
        <v>277</v>
      </c>
      <c r="E391" s="92" t="s">
        <v>128</v>
      </c>
      <c r="F391" s="92">
        <v>79</v>
      </c>
      <c r="G391" s="87" t="s">
        <v>78</v>
      </c>
      <c r="H391" s="93">
        <v>0.2</v>
      </c>
      <c r="I391" s="4">
        <v>2</v>
      </c>
      <c r="J391" s="4"/>
      <c r="K391" s="4">
        <v>0.2</v>
      </c>
      <c r="L391" s="93"/>
      <c r="M391" s="114" t="s">
        <v>115</v>
      </c>
      <c r="N391" s="88" t="s">
        <v>278</v>
      </c>
      <c r="O391" s="89">
        <v>43887</v>
      </c>
      <c r="P391" s="92" t="s">
        <v>65</v>
      </c>
      <c r="Q391" s="78" t="s">
        <v>105</v>
      </c>
      <c r="R391" s="163"/>
      <c r="S391" s="104"/>
      <c r="T391" s="22"/>
      <c r="U391" s="22"/>
      <c r="V391" s="91"/>
      <c r="X391"/>
      <c r="Y391" s="69"/>
      <c r="Z391"/>
      <c r="AA391" s="33"/>
    </row>
    <row r="392" spans="1:27" s="73" customFormat="1" ht="20.25" hidden="1" customHeight="1">
      <c r="A392" s="79">
        <v>337</v>
      </c>
      <c r="B392" s="92" t="s">
        <v>7</v>
      </c>
      <c r="C392" s="92">
        <v>3</v>
      </c>
      <c r="D392" s="92" t="s">
        <v>277</v>
      </c>
      <c r="E392" s="92" t="s">
        <v>128</v>
      </c>
      <c r="F392" s="92">
        <v>87</v>
      </c>
      <c r="G392" s="87" t="s">
        <v>68</v>
      </c>
      <c r="H392" s="93">
        <v>0.3</v>
      </c>
      <c r="I392" s="4">
        <v>1</v>
      </c>
      <c r="J392" s="4"/>
      <c r="K392" s="4">
        <v>0.3</v>
      </c>
      <c r="L392" s="93"/>
      <c r="M392" s="114" t="s">
        <v>115</v>
      </c>
      <c r="N392" s="88" t="s">
        <v>278</v>
      </c>
      <c r="O392" s="89">
        <v>43887</v>
      </c>
      <c r="P392" s="92" t="s">
        <v>65</v>
      </c>
      <c r="Q392" s="78" t="s">
        <v>105</v>
      </c>
      <c r="R392" s="163"/>
      <c r="S392" s="104"/>
      <c r="T392" s="22"/>
      <c r="U392" s="22"/>
      <c r="V392" s="91"/>
      <c r="X392"/>
      <c r="Y392" s="69"/>
      <c r="Z392"/>
      <c r="AA392" s="33"/>
    </row>
    <row r="393" spans="1:27" s="73" customFormat="1" ht="20.25" hidden="1" customHeight="1">
      <c r="A393" s="79">
        <v>338</v>
      </c>
      <c r="B393" s="92" t="s">
        <v>7</v>
      </c>
      <c r="C393" s="92">
        <v>3</v>
      </c>
      <c r="D393" s="92" t="s">
        <v>277</v>
      </c>
      <c r="E393" s="92" t="s">
        <v>128</v>
      </c>
      <c r="F393" s="92">
        <v>88</v>
      </c>
      <c r="G393" s="87" t="s">
        <v>80</v>
      </c>
      <c r="H393" s="93">
        <v>0.3</v>
      </c>
      <c r="I393" s="4">
        <v>1</v>
      </c>
      <c r="J393" s="4"/>
      <c r="K393" s="4">
        <v>0.3</v>
      </c>
      <c r="L393" s="93"/>
      <c r="M393" s="114" t="s">
        <v>115</v>
      </c>
      <c r="N393" s="88" t="s">
        <v>278</v>
      </c>
      <c r="O393" s="89">
        <v>43887</v>
      </c>
      <c r="P393" s="92" t="s">
        <v>65</v>
      </c>
      <c r="Q393" s="78" t="s">
        <v>105</v>
      </c>
      <c r="R393" s="163"/>
      <c r="S393" s="104"/>
      <c r="T393" s="22"/>
      <c r="U393" s="22"/>
      <c r="V393" s="91"/>
      <c r="X393"/>
      <c r="Y393" s="69"/>
      <c r="Z393"/>
      <c r="AA393" s="33"/>
    </row>
    <row r="394" spans="1:27" s="73" customFormat="1" ht="20.25" hidden="1" customHeight="1">
      <c r="A394" s="79">
        <v>339</v>
      </c>
      <c r="B394" s="92" t="s">
        <v>7</v>
      </c>
      <c r="C394" s="92">
        <v>3</v>
      </c>
      <c r="D394" s="92" t="s">
        <v>277</v>
      </c>
      <c r="E394" s="92" t="s">
        <v>128</v>
      </c>
      <c r="F394" s="92">
        <v>89</v>
      </c>
      <c r="G394" s="87" t="s">
        <v>82</v>
      </c>
      <c r="H394" s="93">
        <v>0.3</v>
      </c>
      <c r="I394" s="4">
        <v>1</v>
      </c>
      <c r="J394" s="4"/>
      <c r="K394" s="4">
        <v>0.3</v>
      </c>
      <c r="L394" s="93"/>
      <c r="M394" s="114" t="s">
        <v>115</v>
      </c>
      <c r="N394" s="88" t="s">
        <v>278</v>
      </c>
      <c r="O394" s="89">
        <v>43887</v>
      </c>
      <c r="P394" s="92" t="s">
        <v>65</v>
      </c>
      <c r="Q394" s="78" t="s">
        <v>105</v>
      </c>
      <c r="R394" s="163"/>
      <c r="S394" s="104"/>
      <c r="T394" s="22"/>
      <c r="U394" s="22"/>
      <c r="V394" s="91"/>
      <c r="X394"/>
      <c r="Y394" s="69"/>
      <c r="Z394"/>
      <c r="AA394" s="33"/>
    </row>
    <row r="395" spans="1:27" s="73" customFormat="1" ht="20.25" hidden="1" customHeight="1">
      <c r="A395" s="79">
        <v>340</v>
      </c>
      <c r="B395" s="92" t="s">
        <v>7</v>
      </c>
      <c r="C395" s="92">
        <v>3</v>
      </c>
      <c r="D395" s="92" t="s">
        <v>277</v>
      </c>
      <c r="E395" s="92" t="s">
        <v>128</v>
      </c>
      <c r="F395" s="92">
        <v>94</v>
      </c>
      <c r="G395" s="87" t="s">
        <v>68</v>
      </c>
      <c r="H395" s="93">
        <v>0.3</v>
      </c>
      <c r="I395" s="4">
        <v>1</v>
      </c>
      <c r="J395" s="4"/>
      <c r="K395" s="4">
        <v>0.3</v>
      </c>
      <c r="L395" s="93"/>
      <c r="M395" s="114" t="s">
        <v>115</v>
      </c>
      <c r="N395" s="88" t="s">
        <v>278</v>
      </c>
      <c r="O395" s="89">
        <v>43887</v>
      </c>
      <c r="P395" s="92" t="s">
        <v>65</v>
      </c>
      <c r="Q395" s="78" t="s">
        <v>105</v>
      </c>
      <c r="R395" s="163"/>
      <c r="S395" s="104"/>
      <c r="T395" s="22"/>
      <c r="U395" s="22"/>
      <c r="V395" s="91"/>
      <c r="X395"/>
      <c r="Y395" s="69"/>
      <c r="Z395"/>
      <c r="AA395" s="33"/>
    </row>
    <row r="396" spans="1:27" s="73" customFormat="1" ht="20.25" hidden="1" customHeight="1">
      <c r="A396" s="79">
        <v>341</v>
      </c>
      <c r="B396" s="92" t="s">
        <v>7</v>
      </c>
      <c r="C396" s="92">
        <v>3</v>
      </c>
      <c r="D396" s="92" t="s">
        <v>277</v>
      </c>
      <c r="E396" s="92" t="s">
        <v>128</v>
      </c>
      <c r="F396" s="92">
        <v>95</v>
      </c>
      <c r="G396" s="87" t="s">
        <v>77</v>
      </c>
      <c r="H396" s="93">
        <v>0.3</v>
      </c>
      <c r="I396" s="4">
        <v>1</v>
      </c>
      <c r="J396" s="4"/>
      <c r="K396" s="4">
        <v>0.3</v>
      </c>
      <c r="L396" s="93"/>
      <c r="M396" s="114" t="s">
        <v>115</v>
      </c>
      <c r="N396" s="88" t="s">
        <v>278</v>
      </c>
      <c r="O396" s="89">
        <v>43887</v>
      </c>
      <c r="P396" s="92" t="s">
        <v>65</v>
      </c>
      <c r="Q396" s="78" t="s">
        <v>105</v>
      </c>
      <c r="R396" s="163"/>
      <c r="S396" s="104"/>
      <c r="T396" s="22"/>
      <c r="U396" s="22"/>
      <c r="V396" s="91"/>
      <c r="X396"/>
      <c r="Y396" s="69"/>
      <c r="Z396"/>
      <c r="AA396" s="33"/>
    </row>
    <row r="397" spans="1:27" s="73" customFormat="1" ht="20.25" hidden="1" customHeight="1">
      <c r="A397" s="79">
        <v>342</v>
      </c>
      <c r="B397" s="92" t="s">
        <v>7</v>
      </c>
      <c r="C397" s="92">
        <v>3</v>
      </c>
      <c r="D397" s="92" t="s">
        <v>277</v>
      </c>
      <c r="E397" s="92" t="s">
        <v>128</v>
      </c>
      <c r="F397" s="92">
        <v>96</v>
      </c>
      <c r="G397" s="87" t="s">
        <v>85</v>
      </c>
      <c r="H397" s="93">
        <v>0.3</v>
      </c>
      <c r="I397" s="4">
        <v>1</v>
      </c>
      <c r="J397" s="4"/>
      <c r="K397" s="4">
        <v>0.3</v>
      </c>
      <c r="L397" s="93"/>
      <c r="M397" s="114" t="s">
        <v>115</v>
      </c>
      <c r="N397" s="88" t="s">
        <v>278</v>
      </c>
      <c r="O397" s="89">
        <v>43887</v>
      </c>
      <c r="P397" s="92" t="s">
        <v>65</v>
      </c>
      <c r="Q397" s="78" t="s">
        <v>105</v>
      </c>
      <c r="R397" s="163"/>
      <c r="S397" s="104"/>
      <c r="T397" s="22"/>
      <c r="U397" s="22"/>
      <c r="V397" s="91"/>
      <c r="X397"/>
      <c r="Y397" s="69"/>
      <c r="Z397"/>
      <c r="AA397" s="33"/>
    </row>
    <row r="398" spans="1:27" s="73" customFormat="1" ht="20.25" hidden="1" customHeight="1">
      <c r="A398" s="79">
        <v>343</v>
      </c>
      <c r="B398" s="92" t="s">
        <v>7</v>
      </c>
      <c r="C398" s="92">
        <v>3</v>
      </c>
      <c r="D398" s="92" t="s">
        <v>277</v>
      </c>
      <c r="E398" s="92" t="s">
        <v>128</v>
      </c>
      <c r="F398" s="92">
        <v>97</v>
      </c>
      <c r="G398" s="87" t="s">
        <v>68</v>
      </c>
      <c r="H398" s="93">
        <v>0.3</v>
      </c>
      <c r="I398" s="4">
        <v>1</v>
      </c>
      <c r="J398" s="4"/>
      <c r="K398" s="4">
        <v>0.3</v>
      </c>
      <c r="L398" s="93"/>
      <c r="M398" s="114" t="s">
        <v>115</v>
      </c>
      <c r="N398" s="88" t="s">
        <v>278</v>
      </c>
      <c r="O398" s="89">
        <v>43887</v>
      </c>
      <c r="P398" s="92" t="s">
        <v>65</v>
      </c>
      <c r="Q398" s="78" t="s">
        <v>105</v>
      </c>
      <c r="R398" s="163"/>
      <c r="S398" s="104"/>
      <c r="T398" s="22"/>
      <c r="U398" s="22"/>
      <c r="V398" s="91"/>
      <c r="X398"/>
      <c r="Y398" s="69"/>
      <c r="Z398"/>
      <c r="AA398" s="33"/>
    </row>
    <row r="399" spans="1:27" s="73" customFormat="1" ht="20.25" hidden="1" customHeight="1">
      <c r="A399" s="79">
        <v>344</v>
      </c>
      <c r="B399" s="92" t="s">
        <v>221</v>
      </c>
      <c r="C399" s="92">
        <v>4</v>
      </c>
      <c r="D399" s="92" t="s">
        <v>31</v>
      </c>
      <c r="E399" s="92" t="s">
        <v>26</v>
      </c>
      <c r="F399" s="92">
        <v>101</v>
      </c>
      <c r="G399" s="87" t="s">
        <v>89</v>
      </c>
      <c r="H399" s="93">
        <v>3.8</v>
      </c>
      <c r="I399" s="4">
        <v>17</v>
      </c>
      <c r="J399" s="4"/>
      <c r="K399" s="4">
        <v>3.8</v>
      </c>
      <c r="L399" s="93"/>
      <c r="M399" s="114" t="s">
        <v>115</v>
      </c>
      <c r="N399" s="88" t="s">
        <v>222</v>
      </c>
      <c r="O399" s="89">
        <v>43834</v>
      </c>
      <c r="P399" s="92" t="s">
        <v>65</v>
      </c>
      <c r="Q399" s="78" t="s">
        <v>47</v>
      </c>
      <c r="R399" s="163"/>
      <c r="S399" s="104"/>
      <c r="T399" s="22"/>
      <c r="U399" s="22"/>
      <c r="V399" s="91" t="s">
        <v>38</v>
      </c>
      <c r="X399"/>
      <c r="Y399" s="69"/>
      <c r="Z399"/>
      <c r="AA399" s="33"/>
    </row>
    <row r="400" spans="1:27" s="73" customFormat="1" hidden="1">
      <c r="A400" s="79">
        <v>345</v>
      </c>
      <c r="B400" s="92" t="s">
        <v>221</v>
      </c>
      <c r="C400" s="92">
        <v>4</v>
      </c>
      <c r="D400" s="92" t="s">
        <v>31</v>
      </c>
      <c r="E400" s="92" t="s">
        <v>26</v>
      </c>
      <c r="F400" s="92">
        <v>112</v>
      </c>
      <c r="G400" s="87" t="s">
        <v>182</v>
      </c>
      <c r="H400" s="93">
        <v>2.5</v>
      </c>
      <c r="I400" s="4">
        <v>7</v>
      </c>
      <c r="J400" s="4"/>
      <c r="K400" s="4">
        <v>2.5</v>
      </c>
      <c r="L400" s="93"/>
      <c r="M400" s="114" t="s">
        <v>115</v>
      </c>
      <c r="N400" s="88" t="s">
        <v>222</v>
      </c>
      <c r="O400" s="89">
        <v>43834</v>
      </c>
      <c r="P400" s="92" t="s">
        <v>65</v>
      </c>
      <c r="Q400" s="78" t="s">
        <v>47</v>
      </c>
      <c r="R400" s="163"/>
      <c r="S400" s="104"/>
      <c r="T400" s="22"/>
      <c r="U400" s="22"/>
      <c r="V400" s="91" t="s">
        <v>38</v>
      </c>
      <c r="X400"/>
      <c r="Y400" s="69"/>
      <c r="Z400"/>
      <c r="AA400" s="33"/>
    </row>
    <row r="401" spans="1:27" s="73" customFormat="1" hidden="1">
      <c r="A401" s="79">
        <v>346</v>
      </c>
      <c r="B401" s="92" t="s">
        <v>221</v>
      </c>
      <c r="C401" s="92">
        <v>4</v>
      </c>
      <c r="D401" s="92" t="s">
        <v>31</v>
      </c>
      <c r="E401" s="92" t="s">
        <v>26</v>
      </c>
      <c r="F401" s="92">
        <v>115</v>
      </c>
      <c r="G401" s="87" t="s">
        <v>89</v>
      </c>
      <c r="H401" s="93">
        <v>1</v>
      </c>
      <c r="I401" s="4">
        <v>10</v>
      </c>
      <c r="J401" s="4"/>
      <c r="K401" s="4">
        <v>1</v>
      </c>
      <c r="L401" s="93"/>
      <c r="M401" s="114" t="s">
        <v>115</v>
      </c>
      <c r="N401" s="88" t="s">
        <v>222</v>
      </c>
      <c r="O401" s="89">
        <v>43834</v>
      </c>
      <c r="P401" s="92" t="s">
        <v>65</v>
      </c>
      <c r="Q401" s="78" t="s">
        <v>47</v>
      </c>
      <c r="R401" s="163"/>
      <c r="S401" s="104"/>
      <c r="T401" s="22"/>
      <c r="U401" s="22"/>
      <c r="V401" s="91" t="s">
        <v>38</v>
      </c>
      <c r="X401"/>
      <c r="Y401" s="69"/>
      <c r="Z401"/>
      <c r="AA401" s="33"/>
    </row>
    <row r="402" spans="1:27" s="73" customFormat="1" hidden="1">
      <c r="A402" s="79">
        <v>347</v>
      </c>
      <c r="B402" s="92" t="s">
        <v>221</v>
      </c>
      <c r="C402" s="92">
        <v>4</v>
      </c>
      <c r="D402" s="92" t="s">
        <v>31</v>
      </c>
      <c r="E402" s="92" t="s">
        <v>28</v>
      </c>
      <c r="F402" s="92">
        <v>50</v>
      </c>
      <c r="G402" s="87" t="s">
        <v>88</v>
      </c>
      <c r="H402" s="93">
        <v>1.5</v>
      </c>
      <c r="I402" s="4">
        <v>6</v>
      </c>
      <c r="J402" s="4"/>
      <c r="K402" s="4">
        <v>1.5</v>
      </c>
      <c r="L402" s="93"/>
      <c r="M402" s="114" t="s">
        <v>115</v>
      </c>
      <c r="N402" s="88" t="s">
        <v>222</v>
      </c>
      <c r="O402" s="89">
        <v>43834</v>
      </c>
      <c r="P402" s="92" t="s">
        <v>65</v>
      </c>
      <c r="Q402" s="78" t="s">
        <v>48</v>
      </c>
      <c r="R402" s="163"/>
      <c r="S402" s="104"/>
      <c r="T402" s="22"/>
      <c r="U402" s="22"/>
      <c r="V402" s="91" t="s">
        <v>38</v>
      </c>
      <c r="X402"/>
      <c r="Y402" s="69"/>
      <c r="Z402"/>
      <c r="AA402" s="33"/>
    </row>
    <row r="403" spans="1:27" s="73" customFormat="1" hidden="1">
      <c r="A403" s="79">
        <v>348</v>
      </c>
      <c r="B403" s="92" t="s">
        <v>221</v>
      </c>
      <c r="C403" s="92">
        <v>4</v>
      </c>
      <c r="D403" s="92" t="s">
        <v>31</v>
      </c>
      <c r="E403" s="92" t="s">
        <v>28</v>
      </c>
      <c r="F403" s="92">
        <v>51</v>
      </c>
      <c r="G403" s="87" t="s">
        <v>80</v>
      </c>
      <c r="H403" s="93">
        <v>1.9</v>
      </c>
      <c r="I403" s="4">
        <v>45</v>
      </c>
      <c r="J403" s="4"/>
      <c r="K403" s="103">
        <v>1.9</v>
      </c>
      <c r="L403" s="93"/>
      <c r="M403" s="114" t="s">
        <v>115</v>
      </c>
      <c r="N403" s="88" t="s">
        <v>222</v>
      </c>
      <c r="O403" s="89">
        <v>43834</v>
      </c>
      <c r="P403" s="92" t="s">
        <v>65</v>
      </c>
      <c r="Q403" s="78" t="s">
        <v>48</v>
      </c>
      <c r="R403" s="163"/>
      <c r="S403" s="104"/>
      <c r="T403" s="22"/>
      <c r="U403" s="22"/>
      <c r="V403" s="91"/>
      <c r="X403"/>
      <c r="Y403" s="69"/>
      <c r="Z403"/>
      <c r="AA403" s="33"/>
    </row>
    <row r="404" spans="1:27" s="73" customFormat="1" hidden="1">
      <c r="A404" s="79">
        <v>349</v>
      </c>
      <c r="B404" s="92" t="s">
        <v>221</v>
      </c>
      <c r="C404" s="92">
        <v>4</v>
      </c>
      <c r="D404" s="92" t="s">
        <v>31</v>
      </c>
      <c r="E404" s="92" t="s">
        <v>28</v>
      </c>
      <c r="F404" s="92">
        <v>55</v>
      </c>
      <c r="G404" s="87" t="s">
        <v>69</v>
      </c>
      <c r="H404" s="93">
        <v>2.1</v>
      </c>
      <c r="I404" s="4">
        <v>23</v>
      </c>
      <c r="J404" s="4"/>
      <c r="K404" s="103">
        <v>2.1</v>
      </c>
      <c r="L404" s="93"/>
      <c r="M404" s="114" t="s">
        <v>115</v>
      </c>
      <c r="N404" s="88" t="s">
        <v>222</v>
      </c>
      <c r="O404" s="89">
        <v>43834</v>
      </c>
      <c r="P404" s="92" t="s">
        <v>65</v>
      </c>
      <c r="Q404" s="78" t="s">
        <v>49</v>
      </c>
      <c r="R404" s="163"/>
      <c r="S404" s="104"/>
      <c r="T404" s="22"/>
      <c r="U404" s="22"/>
      <c r="V404" s="91"/>
      <c r="X404"/>
      <c r="Y404" s="69"/>
      <c r="Z404"/>
      <c r="AA404" s="33"/>
    </row>
    <row r="405" spans="1:27" s="73" customFormat="1" hidden="1">
      <c r="A405" s="79">
        <v>350</v>
      </c>
      <c r="B405" s="92" t="s">
        <v>221</v>
      </c>
      <c r="C405" s="92">
        <v>4</v>
      </c>
      <c r="D405" s="92" t="s">
        <v>31</v>
      </c>
      <c r="E405" s="92" t="s">
        <v>26</v>
      </c>
      <c r="F405" s="92">
        <v>56</v>
      </c>
      <c r="G405" s="87" t="s">
        <v>68</v>
      </c>
      <c r="H405" s="93">
        <v>4.0999999999999996</v>
      </c>
      <c r="I405" s="4">
        <v>22</v>
      </c>
      <c r="J405" s="4"/>
      <c r="K405" s="103">
        <v>4.0999999999999996</v>
      </c>
      <c r="L405" s="93"/>
      <c r="M405" s="114" t="s">
        <v>115</v>
      </c>
      <c r="N405" s="88" t="s">
        <v>222</v>
      </c>
      <c r="O405" s="89">
        <v>43834</v>
      </c>
      <c r="P405" s="92" t="s">
        <v>65</v>
      </c>
      <c r="Q405" s="78" t="s">
        <v>49</v>
      </c>
      <c r="R405" s="163"/>
      <c r="S405" s="104"/>
      <c r="T405" s="22"/>
      <c r="U405" s="22"/>
      <c r="V405" s="91"/>
      <c r="X405"/>
      <c r="Y405" s="69"/>
      <c r="Z405"/>
      <c r="AA405" s="33"/>
    </row>
    <row r="406" spans="1:27" s="73" customFormat="1" hidden="1">
      <c r="A406" s="79">
        <v>351</v>
      </c>
      <c r="B406" s="92" t="s">
        <v>221</v>
      </c>
      <c r="C406" s="92">
        <v>4</v>
      </c>
      <c r="D406" s="92" t="s">
        <v>31</v>
      </c>
      <c r="E406" s="92" t="s">
        <v>26</v>
      </c>
      <c r="F406" s="92">
        <v>66</v>
      </c>
      <c r="G406" s="87" t="s">
        <v>84</v>
      </c>
      <c r="H406" s="93">
        <v>0.8</v>
      </c>
      <c r="I406" s="4">
        <v>15</v>
      </c>
      <c r="J406" s="4"/>
      <c r="K406" s="103">
        <v>0.8</v>
      </c>
      <c r="L406" s="93"/>
      <c r="M406" s="114" t="s">
        <v>115</v>
      </c>
      <c r="N406" s="88" t="s">
        <v>222</v>
      </c>
      <c r="O406" s="89">
        <v>43834</v>
      </c>
      <c r="P406" s="92" t="s">
        <v>65</v>
      </c>
      <c r="Q406" s="78" t="s">
        <v>48</v>
      </c>
      <c r="R406" s="163"/>
      <c r="S406" s="104"/>
      <c r="T406" s="22"/>
      <c r="U406" s="22"/>
      <c r="V406" s="91"/>
      <c r="X406"/>
      <c r="Y406" s="69"/>
      <c r="Z406"/>
      <c r="AA406" s="33"/>
    </row>
    <row r="407" spans="1:27" s="73" customFormat="1" hidden="1">
      <c r="A407" s="79">
        <v>352</v>
      </c>
      <c r="B407" s="92" t="s">
        <v>221</v>
      </c>
      <c r="C407" s="92">
        <v>4</v>
      </c>
      <c r="D407" s="92" t="s">
        <v>31</v>
      </c>
      <c r="E407" s="92" t="s">
        <v>26</v>
      </c>
      <c r="F407" s="92">
        <v>66</v>
      </c>
      <c r="G407" s="87" t="s">
        <v>75</v>
      </c>
      <c r="H407" s="93">
        <v>4.0999999999999996</v>
      </c>
      <c r="I407" s="4">
        <v>19</v>
      </c>
      <c r="J407" s="4"/>
      <c r="K407" s="103">
        <v>4.0999999999999996</v>
      </c>
      <c r="L407" s="93"/>
      <c r="M407" s="114" t="s">
        <v>115</v>
      </c>
      <c r="N407" s="88" t="s">
        <v>222</v>
      </c>
      <c r="O407" s="89">
        <v>43834</v>
      </c>
      <c r="P407" s="92" t="s">
        <v>65</v>
      </c>
      <c r="Q407" s="78" t="s">
        <v>48</v>
      </c>
      <c r="R407" s="163"/>
      <c r="S407" s="104"/>
      <c r="T407" s="22"/>
      <c r="U407" s="22"/>
      <c r="V407" s="91"/>
      <c r="X407"/>
      <c r="Y407" s="69"/>
      <c r="Z407"/>
      <c r="AA407" s="33"/>
    </row>
    <row r="408" spans="1:27" s="73" customFormat="1" hidden="1">
      <c r="A408" s="79">
        <v>353</v>
      </c>
      <c r="B408" s="92" t="s">
        <v>221</v>
      </c>
      <c r="C408" s="92">
        <v>4</v>
      </c>
      <c r="D408" s="92" t="s">
        <v>31</v>
      </c>
      <c r="E408" s="92" t="s">
        <v>26</v>
      </c>
      <c r="F408" s="92">
        <v>67</v>
      </c>
      <c r="G408" s="87" t="s">
        <v>71</v>
      </c>
      <c r="H408" s="93">
        <v>4.4000000000000004</v>
      </c>
      <c r="I408" s="4">
        <v>31</v>
      </c>
      <c r="J408" s="4"/>
      <c r="K408" s="103">
        <v>4.4000000000000004</v>
      </c>
      <c r="L408" s="93"/>
      <c r="M408" s="114" t="s">
        <v>115</v>
      </c>
      <c r="N408" s="88" t="s">
        <v>222</v>
      </c>
      <c r="O408" s="89">
        <v>43834</v>
      </c>
      <c r="P408" s="92" t="s">
        <v>65</v>
      </c>
      <c r="Q408" s="78" t="s">
        <v>48</v>
      </c>
      <c r="R408" s="163"/>
      <c r="S408" s="104"/>
      <c r="T408" s="22"/>
      <c r="U408" s="22"/>
      <c r="V408" s="91"/>
      <c r="X408"/>
      <c r="Y408" s="69"/>
      <c r="Z408"/>
      <c r="AA408" s="33"/>
    </row>
    <row r="409" spans="1:27" s="73" customFormat="1" hidden="1">
      <c r="A409" s="79">
        <v>354</v>
      </c>
      <c r="B409" s="92" t="s">
        <v>221</v>
      </c>
      <c r="C409" s="92">
        <v>4</v>
      </c>
      <c r="D409" s="92" t="s">
        <v>31</v>
      </c>
      <c r="E409" s="92" t="s">
        <v>26</v>
      </c>
      <c r="F409" s="92">
        <v>67</v>
      </c>
      <c r="G409" s="87" t="s">
        <v>72</v>
      </c>
      <c r="H409" s="93">
        <v>3.6</v>
      </c>
      <c r="I409" s="4">
        <v>14</v>
      </c>
      <c r="J409" s="4"/>
      <c r="K409" s="103">
        <v>3.6</v>
      </c>
      <c r="L409" s="93"/>
      <c r="M409" s="114" t="s">
        <v>115</v>
      </c>
      <c r="N409" s="88" t="s">
        <v>222</v>
      </c>
      <c r="O409" s="89">
        <v>43834</v>
      </c>
      <c r="P409" s="92" t="s">
        <v>65</v>
      </c>
      <c r="Q409" s="78" t="s">
        <v>48</v>
      </c>
      <c r="R409" s="163"/>
      <c r="S409" s="104"/>
      <c r="T409" s="22"/>
      <c r="U409" s="22"/>
      <c r="V409" s="91"/>
      <c r="X409"/>
      <c r="Y409" s="69"/>
      <c r="Z409"/>
      <c r="AA409" s="33"/>
    </row>
    <row r="410" spans="1:27" s="73" customFormat="1" hidden="1">
      <c r="A410" s="79">
        <v>355</v>
      </c>
      <c r="B410" s="92" t="s">
        <v>221</v>
      </c>
      <c r="C410" s="92">
        <v>4</v>
      </c>
      <c r="D410" s="92" t="s">
        <v>31</v>
      </c>
      <c r="E410" s="92" t="s">
        <v>28</v>
      </c>
      <c r="F410" s="92">
        <v>72</v>
      </c>
      <c r="G410" s="87" t="s">
        <v>77</v>
      </c>
      <c r="H410" s="93">
        <v>1.3</v>
      </c>
      <c r="I410" s="4">
        <v>8</v>
      </c>
      <c r="J410" s="4"/>
      <c r="K410" s="103">
        <v>1.3</v>
      </c>
      <c r="L410" s="93"/>
      <c r="M410" s="114" t="s">
        <v>115</v>
      </c>
      <c r="N410" s="88" t="s">
        <v>222</v>
      </c>
      <c r="O410" s="89">
        <v>43834</v>
      </c>
      <c r="P410" s="92" t="s">
        <v>65</v>
      </c>
      <c r="Q410" s="78" t="s">
        <v>48</v>
      </c>
      <c r="R410" s="163"/>
      <c r="S410" s="104"/>
      <c r="T410" s="22"/>
      <c r="U410" s="22"/>
      <c r="V410" s="91"/>
      <c r="X410"/>
      <c r="Y410" s="69"/>
      <c r="Z410"/>
      <c r="AA410" s="33"/>
    </row>
    <row r="411" spans="1:27" s="73" customFormat="1" hidden="1">
      <c r="A411" s="79">
        <v>356</v>
      </c>
      <c r="B411" s="92" t="s">
        <v>221</v>
      </c>
      <c r="C411" s="92">
        <v>4</v>
      </c>
      <c r="D411" s="92" t="s">
        <v>31</v>
      </c>
      <c r="E411" s="92" t="s">
        <v>26</v>
      </c>
      <c r="F411" s="92">
        <v>81</v>
      </c>
      <c r="G411" s="87" t="s">
        <v>79</v>
      </c>
      <c r="H411" s="93">
        <v>4.4000000000000004</v>
      </c>
      <c r="I411" s="4">
        <v>37</v>
      </c>
      <c r="J411" s="4"/>
      <c r="K411" s="103">
        <v>4.4000000000000004</v>
      </c>
      <c r="L411" s="93"/>
      <c r="M411" s="114" t="s">
        <v>115</v>
      </c>
      <c r="N411" s="88" t="s">
        <v>222</v>
      </c>
      <c r="O411" s="89">
        <v>43834</v>
      </c>
      <c r="P411" s="92" t="s">
        <v>65</v>
      </c>
      <c r="Q411" s="78" t="s">
        <v>48</v>
      </c>
      <c r="R411" s="163"/>
      <c r="S411" s="104"/>
      <c r="T411" s="22"/>
      <c r="U411" s="22"/>
      <c r="V411" s="91"/>
      <c r="X411"/>
      <c r="Y411" s="69"/>
      <c r="Z411"/>
      <c r="AA411" s="33"/>
    </row>
    <row r="412" spans="1:27" s="73" customFormat="1" hidden="1">
      <c r="A412" s="79">
        <v>357</v>
      </c>
      <c r="B412" s="92" t="s">
        <v>221</v>
      </c>
      <c r="C412" s="92">
        <v>4</v>
      </c>
      <c r="D412" s="92" t="s">
        <v>31</v>
      </c>
      <c r="E412" s="92" t="s">
        <v>28</v>
      </c>
      <c r="F412" s="92">
        <v>96</v>
      </c>
      <c r="G412" s="87" t="s">
        <v>103</v>
      </c>
      <c r="H412" s="93">
        <v>2.1</v>
      </c>
      <c r="I412" s="4">
        <v>9</v>
      </c>
      <c r="J412" s="4"/>
      <c r="K412" s="103">
        <v>2.1</v>
      </c>
      <c r="L412" s="93"/>
      <c r="M412" s="114" t="s">
        <v>115</v>
      </c>
      <c r="N412" s="88" t="s">
        <v>222</v>
      </c>
      <c r="O412" s="89">
        <v>43834</v>
      </c>
      <c r="P412" s="92" t="s">
        <v>65</v>
      </c>
      <c r="Q412" s="78" t="s">
        <v>48</v>
      </c>
      <c r="R412" s="163"/>
      <c r="S412" s="104"/>
      <c r="T412" s="22"/>
      <c r="U412" s="22"/>
      <c r="V412" s="91"/>
      <c r="X412"/>
      <c r="Y412" s="69"/>
      <c r="Z412"/>
      <c r="AA412" s="33"/>
    </row>
    <row r="413" spans="1:27" s="73" customFormat="1" hidden="1">
      <c r="A413" s="79">
        <v>358</v>
      </c>
      <c r="B413" s="92" t="s">
        <v>221</v>
      </c>
      <c r="C413" s="92">
        <v>4</v>
      </c>
      <c r="D413" s="92" t="s">
        <v>31</v>
      </c>
      <c r="E413" s="92" t="s">
        <v>28</v>
      </c>
      <c r="F413" s="92">
        <v>99</v>
      </c>
      <c r="G413" s="87" t="s">
        <v>67</v>
      </c>
      <c r="H413" s="93">
        <v>0.6</v>
      </c>
      <c r="I413" s="4">
        <v>6</v>
      </c>
      <c r="J413" s="4"/>
      <c r="K413" s="103">
        <v>0.6</v>
      </c>
      <c r="L413" s="93"/>
      <c r="M413" s="114" t="s">
        <v>115</v>
      </c>
      <c r="N413" s="88" t="s">
        <v>222</v>
      </c>
      <c r="O413" s="89">
        <v>43834</v>
      </c>
      <c r="P413" s="92" t="s">
        <v>65</v>
      </c>
      <c r="Q413" s="78" t="s">
        <v>47</v>
      </c>
      <c r="R413" s="163"/>
      <c r="S413" s="104"/>
      <c r="T413" s="22"/>
      <c r="U413" s="22"/>
      <c r="V413" s="91"/>
      <c r="X413"/>
      <c r="Y413" s="69"/>
      <c r="Z413"/>
      <c r="AA413" s="33"/>
    </row>
    <row r="414" spans="1:27" s="73" customFormat="1" hidden="1">
      <c r="A414" s="79">
        <v>359</v>
      </c>
      <c r="B414" s="92" t="s">
        <v>221</v>
      </c>
      <c r="C414" s="92">
        <v>4</v>
      </c>
      <c r="D414" s="92" t="s">
        <v>31</v>
      </c>
      <c r="E414" s="92" t="s">
        <v>26</v>
      </c>
      <c r="F414" s="92">
        <v>99</v>
      </c>
      <c r="G414" s="87" t="s">
        <v>85</v>
      </c>
      <c r="H414" s="93">
        <v>5</v>
      </c>
      <c r="I414" s="4">
        <v>38</v>
      </c>
      <c r="J414" s="4"/>
      <c r="K414" s="93">
        <v>5</v>
      </c>
      <c r="L414" s="93"/>
      <c r="M414" s="114" t="s">
        <v>115</v>
      </c>
      <c r="N414" s="88" t="s">
        <v>222</v>
      </c>
      <c r="O414" s="89">
        <v>43834</v>
      </c>
      <c r="P414" s="92" t="s">
        <v>65</v>
      </c>
      <c r="Q414" s="78" t="s">
        <v>47</v>
      </c>
      <c r="R414" s="163"/>
      <c r="S414" s="104"/>
      <c r="T414" s="22"/>
      <c r="U414" s="22"/>
      <c r="V414" s="91"/>
      <c r="X414"/>
      <c r="Y414" s="69"/>
      <c r="Z414"/>
      <c r="AA414" s="33"/>
    </row>
    <row r="415" spans="1:27" s="73" customFormat="1" hidden="1">
      <c r="A415" s="79">
        <v>360</v>
      </c>
      <c r="B415" s="92" t="s">
        <v>221</v>
      </c>
      <c r="C415" s="92">
        <v>4</v>
      </c>
      <c r="D415" s="92" t="s">
        <v>31</v>
      </c>
      <c r="E415" s="92" t="s">
        <v>26</v>
      </c>
      <c r="F415" s="92">
        <v>67</v>
      </c>
      <c r="G415" s="87" t="s">
        <v>101</v>
      </c>
      <c r="H415" s="93">
        <v>1</v>
      </c>
      <c r="I415" s="4">
        <v>13</v>
      </c>
      <c r="J415" s="4"/>
      <c r="K415" s="93">
        <v>1</v>
      </c>
      <c r="L415" s="93"/>
      <c r="M415" s="114" t="s">
        <v>115</v>
      </c>
      <c r="N415" s="88" t="s">
        <v>222</v>
      </c>
      <c r="O415" s="89">
        <v>43834</v>
      </c>
      <c r="P415" s="92" t="s">
        <v>65</v>
      </c>
      <c r="Q415" s="78" t="s">
        <v>48</v>
      </c>
      <c r="R415" s="163"/>
      <c r="S415" s="104"/>
      <c r="T415" s="22"/>
      <c r="U415" s="22"/>
      <c r="V415" s="91"/>
      <c r="X415"/>
      <c r="Y415" s="69"/>
      <c r="Z415"/>
      <c r="AA415" s="33"/>
    </row>
    <row r="416" spans="1:27" s="73" customFormat="1" hidden="1">
      <c r="A416" s="79">
        <v>361</v>
      </c>
      <c r="B416" s="92" t="s">
        <v>221</v>
      </c>
      <c r="C416" s="92">
        <v>4</v>
      </c>
      <c r="D416" s="92" t="s">
        <v>31</v>
      </c>
      <c r="E416" s="92" t="s">
        <v>28</v>
      </c>
      <c r="F416" s="92">
        <v>94</v>
      </c>
      <c r="G416" s="87" t="s">
        <v>69</v>
      </c>
      <c r="H416" s="93">
        <v>4.5</v>
      </c>
      <c r="I416" s="4">
        <v>11</v>
      </c>
      <c r="J416" s="4"/>
      <c r="K416" s="93">
        <v>4.5</v>
      </c>
      <c r="L416" s="93"/>
      <c r="M416" s="114" t="s">
        <v>115</v>
      </c>
      <c r="N416" s="88" t="s">
        <v>222</v>
      </c>
      <c r="O416" s="89">
        <v>43834</v>
      </c>
      <c r="P416" s="92" t="s">
        <v>65</v>
      </c>
      <c r="Q416" s="78" t="s">
        <v>48</v>
      </c>
      <c r="R416" s="163"/>
      <c r="S416" s="104"/>
      <c r="T416" s="22"/>
      <c r="U416" s="22"/>
      <c r="V416" s="91"/>
      <c r="X416"/>
      <c r="Y416" s="69"/>
      <c r="Z416"/>
      <c r="AA416" s="33"/>
    </row>
    <row r="417" spans="1:27" s="73" customFormat="1" hidden="1">
      <c r="A417" s="79">
        <v>362</v>
      </c>
      <c r="B417" s="92" t="s">
        <v>221</v>
      </c>
      <c r="C417" s="92">
        <v>4</v>
      </c>
      <c r="D417" s="92" t="s">
        <v>31</v>
      </c>
      <c r="E417" s="92" t="s">
        <v>26</v>
      </c>
      <c r="F417" s="92">
        <v>74</v>
      </c>
      <c r="G417" s="87" t="s">
        <v>68</v>
      </c>
      <c r="H417" s="93">
        <v>2.1</v>
      </c>
      <c r="I417" s="4">
        <v>13</v>
      </c>
      <c r="J417" s="4"/>
      <c r="K417" s="93">
        <v>2.1</v>
      </c>
      <c r="L417" s="93"/>
      <c r="M417" s="114" t="s">
        <v>115</v>
      </c>
      <c r="N417" s="88" t="s">
        <v>222</v>
      </c>
      <c r="O417" s="89">
        <v>43834</v>
      </c>
      <c r="P417" s="92" t="s">
        <v>65</v>
      </c>
      <c r="Q417" s="78" t="s">
        <v>47</v>
      </c>
      <c r="R417" s="163"/>
      <c r="S417" s="104"/>
      <c r="T417" s="22"/>
      <c r="U417" s="22"/>
      <c r="V417" s="91"/>
      <c r="X417"/>
      <c r="Y417" s="69"/>
      <c r="Z417"/>
      <c r="AA417" s="33"/>
    </row>
    <row r="418" spans="1:27" s="73" customFormat="1" hidden="1">
      <c r="A418" s="79">
        <v>363</v>
      </c>
      <c r="B418" s="92" t="s">
        <v>221</v>
      </c>
      <c r="C418" s="92">
        <v>4</v>
      </c>
      <c r="D418" s="92" t="s">
        <v>23</v>
      </c>
      <c r="E418" s="92" t="s">
        <v>28</v>
      </c>
      <c r="F418" s="92">
        <v>103</v>
      </c>
      <c r="G418" s="87" t="s">
        <v>84</v>
      </c>
      <c r="H418" s="93">
        <v>0.7</v>
      </c>
      <c r="I418" s="4">
        <v>7</v>
      </c>
      <c r="J418" s="4"/>
      <c r="K418" s="93">
        <v>0.7</v>
      </c>
      <c r="L418" s="93"/>
      <c r="M418" s="114" t="s">
        <v>115</v>
      </c>
      <c r="N418" s="88" t="s">
        <v>223</v>
      </c>
      <c r="O418" s="89">
        <v>43834</v>
      </c>
      <c r="P418" s="92" t="s">
        <v>65</v>
      </c>
      <c r="Q418" s="78" t="s">
        <v>47</v>
      </c>
      <c r="R418" s="163"/>
      <c r="S418" s="104"/>
      <c r="T418" s="22"/>
      <c r="U418" s="22"/>
      <c r="V418" s="91"/>
      <c r="X418"/>
      <c r="Y418" s="69"/>
      <c r="Z418"/>
      <c r="AA418" s="33"/>
    </row>
    <row r="419" spans="1:27" s="73" customFormat="1" hidden="1">
      <c r="A419" s="79">
        <v>364</v>
      </c>
      <c r="B419" s="92" t="s">
        <v>221</v>
      </c>
      <c r="C419" s="92">
        <v>4</v>
      </c>
      <c r="D419" s="92" t="s">
        <v>23</v>
      </c>
      <c r="E419" s="92" t="s">
        <v>26</v>
      </c>
      <c r="F419" s="92">
        <v>111</v>
      </c>
      <c r="G419" s="87" t="s">
        <v>85</v>
      </c>
      <c r="H419" s="93">
        <v>5.2</v>
      </c>
      <c r="I419" s="4">
        <v>36</v>
      </c>
      <c r="J419" s="4">
        <v>26</v>
      </c>
      <c r="K419" s="93">
        <v>5.2</v>
      </c>
      <c r="L419" s="93"/>
      <c r="M419" s="114" t="s">
        <v>115</v>
      </c>
      <c r="N419" s="88" t="s">
        <v>223</v>
      </c>
      <c r="O419" s="89">
        <v>43834</v>
      </c>
      <c r="P419" s="92" t="s">
        <v>65</v>
      </c>
      <c r="Q419" s="78" t="s">
        <v>47</v>
      </c>
      <c r="R419" s="163"/>
      <c r="S419" s="104"/>
      <c r="T419" s="22"/>
      <c r="U419" s="22"/>
      <c r="V419" s="91"/>
      <c r="X419"/>
      <c r="Y419" s="69"/>
      <c r="Z419"/>
      <c r="AA419" s="33"/>
    </row>
    <row r="420" spans="1:27" s="73" customFormat="1" hidden="1">
      <c r="A420" s="79">
        <v>365</v>
      </c>
      <c r="B420" s="92" t="s">
        <v>221</v>
      </c>
      <c r="C420" s="92">
        <v>4</v>
      </c>
      <c r="D420" s="92" t="s">
        <v>23</v>
      </c>
      <c r="E420" s="92" t="s">
        <v>26</v>
      </c>
      <c r="F420" s="92">
        <v>115</v>
      </c>
      <c r="G420" s="87" t="s">
        <v>84</v>
      </c>
      <c r="H420" s="93">
        <v>1.4</v>
      </c>
      <c r="I420" s="4">
        <v>10</v>
      </c>
      <c r="J420" s="4"/>
      <c r="K420" s="93">
        <v>1.4</v>
      </c>
      <c r="L420" s="93"/>
      <c r="M420" s="114" t="s">
        <v>115</v>
      </c>
      <c r="N420" s="88" t="s">
        <v>223</v>
      </c>
      <c r="O420" s="89">
        <v>43834</v>
      </c>
      <c r="P420" s="92" t="s">
        <v>65</v>
      </c>
      <c r="Q420" s="78" t="s">
        <v>47</v>
      </c>
      <c r="R420" s="163"/>
      <c r="S420" s="104"/>
      <c r="T420" s="22"/>
      <c r="U420" s="22"/>
      <c r="V420" s="91"/>
      <c r="X420"/>
      <c r="Y420" s="69"/>
      <c r="Z420"/>
      <c r="AA420" s="33"/>
    </row>
    <row r="421" spans="1:27" s="73" customFormat="1" hidden="1">
      <c r="A421" s="79">
        <v>366</v>
      </c>
      <c r="B421" s="92" t="s">
        <v>221</v>
      </c>
      <c r="C421" s="92">
        <v>4</v>
      </c>
      <c r="D421" s="92" t="s">
        <v>23</v>
      </c>
      <c r="E421" s="92" t="s">
        <v>26</v>
      </c>
      <c r="F421" s="92">
        <v>57</v>
      </c>
      <c r="G421" s="87" t="s">
        <v>85</v>
      </c>
      <c r="H421" s="93">
        <v>3.3</v>
      </c>
      <c r="I421" s="4">
        <v>19</v>
      </c>
      <c r="J421" s="4"/>
      <c r="K421" s="93">
        <v>3.3</v>
      </c>
      <c r="L421" s="93"/>
      <c r="M421" s="114" t="s">
        <v>115</v>
      </c>
      <c r="N421" s="88" t="s">
        <v>223</v>
      </c>
      <c r="O421" s="89">
        <v>43834</v>
      </c>
      <c r="P421" s="92" t="s">
        <v>65</v>
      </c>
      <c r="Q421" s="78" t="s">
        <v>49</v>
      </c>
      <c r="R421" s="163"/>
      <c r="S421" s="104"/>
      <c r="T421" s="22"/>
      <c r="U421" s="22"/>
      <c r="V421" s="91"/>
      <c r="X421"/>
      <c r="Y421" s="69"/>
      <c r="Z421"/>
      <c r="AA421" s="33"/>
    </row>
    <row r="422" spans="1:27" s="73" customFormat="1" hidden="1">
      <c r="A422" s="79">
        <v>367</v>
      </c>
      <c r="B422" s="92" t="s">
        <v>221</v>
      </c>
      <c r="C422" s="92">
        <v>4</v>
      </c>
      <c r="D422" s="92" t="s">
        <v>23</v>
      </c>
      <c r="E422" s="92" t="s">
        <v>26</v>
      </c>
      <c r="F422" s="92">
        <v>68</v>
      </c>
      <c r="G422" s="87" t="s">
        <v>74</v>
      </c>
      <c r="H422" s="93">
        <v>3.5</v>
      </c>
      <c r="I422" s="4">
        <v>72</v>
      </c>
      <c r="J422" s="4"/>
      <c r="K422" s="93">
        <v>3.5</v>
      </c>
      <c r="L422" s="93"/>
      <c r="M422" s="114" t="s">
        <v>115</v>
      </c>
      <c r="N422" s="88" t="s">
        <v>223</v>
      </c>
      <c r="O422" s="89">
        <v>43834</v>
      </c>
      <c r="P422" s="92" t="s">
        <v>65</v>
      </c>
      <c r="Q422" s="78" t="s">
        <v>48</v>
      </c>
      <c r="R422" s="163"/>
      <c r="S422" s="104"/>
      <c r="T422" s="22"/>
      <c r="U422" s="22"/>
      <c r="V422" s="91"/>
      <c r="X422"/>
      <c r="Y422" s="69"/>
      <c r="Z422"/>
      <c r="AA422" s="33"/>
    </row>
    <row r="423" spans="1:27" s="73" customFormat="1" hidden="1">
      <c r="A423" s="79">
        <v>368</v>
      </c>
      <c r="B423" s="92" t="s">
        <v>221</v>
      </c>
      <c r="C423" s="92">
        <v>4</v>
      </c>
      <c r="D423" s="92" t="s">
        <v>23</v>
      </c>
      <c r="E423" s="92" t="s">
        <v>26</v>
      </c>
      <c r="F423" s="92">
        <v>57</v>
      </c>
      <c r="G423" s="87" t="s">
        <v>74</v>
      </c>
      <c r="H423" s="93">
        <v>5.6</v>
      </c>
      <c r="I423" s="4">
        <v>49</v>
      </c>
      <c r="J423" s="4"/>
      <c r="K423" s="93">
        <v>5.6</v>
      </c>
      <c r="L423" s="93"/>
      <c r="M423" s="114" t="s">
        <v>115</v>
      </c>
      <c r="N423" s="88" t="s">
        <v>223</v>
      </c>
      <c r="O423" s="89">
        <v>43834</v>
      </c>
      <c r="P423" s="92" t="s">
        <v>65</v>
      </c>
      <c r="Q423" s="78" t="s">
        <v>49</v>
      </c>
      <c r="R423" s="163"/>
      <c r="S423" s="104"/>
      <c r="T423" s="22"/>
      <c r="U423" s="22"/>
      <c r="V423" s="91"/>
      <c r="X423"/>
      <c r="Y423" s="69"/>
      <c r="Z423"/>
      <c r="AA423" s="33"/>
    </row>
    <row r="424" spans="1:27" s="73" customFormat="1" hidden="1">
      <c r="A424" s="79">
        <v>369</v>
      </c>
      <c r="B424" s="92" t="s">
        <v>221</v>
      </c>
      <c r="C424" s="92">
        <v>4</v>
      </c>
      <c r="D424" s="92" t="s">
        <v>22</v>
      </c>
      <c r="E424" s="92" t="s">
        <v>26</v>
      </c>
      <c r="F424" s="92">
        <v>70</v>
      </c>
      <c r="G424" s="87" t="s">
        <v>67</v>
      </c>
      <c r="H424" s="93">
        <v>5.0999999999999996</v>
      </c>
      <c r="I424" s="4">
        <v>206</v>
      </c>
      <c r="J424" s="4">
        <f>145+4</f>
        <v>149</v>
      </c>
      <c r="K424" s="93">
        <v>5.0999999999999996</v>
      </c>
      <c r="L424" s="4"/>
      <c r="M424" s="114" t="s">
        <v>115</v>
      </c>
      <c r="N424" s="88" t="s">
        <v>157</v>
      </c>
      <c r="O424" s="89">
        <v>43841</v>
      </c>
      <c r="P424" s="92" t="s">
        <v>65</v>
      </c>
      <c r="Q424" s="78" t="s">
        <v>48</v>
      </c>
      <c r="R424" s="163">
        <v>5056</v>
      </c>
      <c r="S424" s="104"/>
      <c r="T424" s="22"/>
      <c r="U424" s="22"/>
      <c r="V424" s="91" t="s">
        <v>40</v>
      </c>
      <c r="X424"/>
      <c r="Y424" s="69"/>
      <c r="Z424"/>
      <c r="AA424" s="33"/>
    </row>
    <row r="425" spans="1:27" s="73" customFormat="1" ht="30" hidden="1">
      <c r="A425" s="79">
        <v>370</v>
      </c>
      <c r="B425" s="92" t="s">
        <v>221</v>
      </c>
      <c r="C425" s="92">
        <v>4</v>
      </c>
      <c r="D425" s="92" t="s">
        <v>32</v>
      </c>
      <c r="E425" s="92" t="s">
        <v>26</v>
      </c>
      <c r="F425" s="92">
        <v>100</v>
      </c>
      <c r="G425" s="87" t="s">
        <v>85</v>
      </c>
      <c r="H425" s="93">
        <v>1.2</v>
      </c>
      <c r="I425" s="4">
        <v>105</v>
      </c>
      <c r="J425" s="4">
        <f>73+2</f>
        <v>75</v>
      </c>
      <c r="K425" s="93">
        <v>1.2</v>
      </c>
      <c r="L425" s="4"/>
      <c r="M425" s="114" t="s">
        <v>115</v>
      </c>
      <c r="N425" s="88" t="s">
        <v>224</v>
      </c>
      <c r="O425" s="89">
        <v>43834</v>
      </c>
      <c r="P425" s="92" t="s">
        <v>65</v>
      </c>
      <c r="Q425" s="78" t="s">
        <v>47</v>
      </c>
      <c r="R425" s="163">
        <v>1896</v>
      </c>
      <c r="S425" s="104"/>
      <c r="T425" s="22"/>
      <c r="U425" s="22"/>
      <c r="V425" s="91" t="s">
        <v>40</v>
      </c>
      <c r="X425"/>
      <c r="Y425" s="69"/>
      <c r="Z425"/>
      <c r="AA425" s="33"/>
    </row>
    <row r="426" spans="1:27" s="73" customFormat="1" ht="30" hidden="1">
      <c r="A426" s="79">
        <v>371</v>
      </c>
      <c r="B426" s="92" t="s">
        <v>221</v>
      </c>
      <c r="C426" s="92">
        <v>4</v>
      </c>
      <c r="D426" s="92" t="s">
        <v>32</v>
      </c>
      <c r="E426" s="92" t="s">
        <v>129</v>
      </c>
      <c r="F426" s="92">
        <v>109</v>
      </c>
      <c r="G426" s="87" t="s">
        <v>74</v>
      </c>
      <c r="H426" s="93">
        <v>0.2</v>
      </c>
      <c r="I426" s="4">
        <v>8</v>
      </c>
      <c r="J426" s="4">
        <v>7</v>
      </c>
      <c r="K426" s="93">
        <v>0.2</v>
      </c>
      <c r="L426" s="4"/>
      <c r="M426" s="114" t="s">
        <v>115</v>
      </c>
      <c r="N426" s="88" t="s">
        <v>224</v>
      </c>
      <c r="O426" s="89">
        <v>43834</v>
      </c>
      <c r="P426" s="92" t="s">
        <v>65</v>
      </c>
      <c r="Q426" s="78" t="s">
        <v>48</v>
      </c>
      <c r="R426" s="163">
        <v>32</v>
      </c>
      <c r="S426" s="104"/>
      <c r="T426" s="22"/>
      <c r="U426" s="22"/>
      <c r="V426" s="91" t="s">
        <v>40</v>
      </c>
      <c r="X426"/>
      <c r="Y426" s="69"/>
      <c r="Z426"/>
      <c r="AA426" s="33"/>
    </row>
    <row r="427" spans="1:27" s="73" customFormat="1" ht="30" hidden="1">
      <c r="A427" s="79">
        <v>372</v>
      </c>
      <c r="B427" s="92" t="s">
        <v>221</v>
      </c>
      <c r="C427" s="92">
        <v>3</v>
      </c>
      <c r="D427" s="92" t="s">
        <v>32</v>
      </c>
      <c r="E427" s="92" t="s">
        <v>26</v>
      </c>
      <c r="F427" s="92">
        <v>114</v>
      </c>
      <c r="G427" s="87" t="s">
        <v>68</v>
      </c>
      <c r="H427" s="93">
        <v>0.6</v>
      </c>
      <c r="I427" s="4">
        <v>10</v>
      </c>
      <c r="J427" s="4">
        <v>9</v>
      </c>
      <c r="K427" s="93">
        <v>0.6</v>
      </c>
      <c r="L427" s="4"/>
      <c r="M427" s="114" t="s">
        <v>115</v>
      </c>
      <c r="N427" s="88" t="s">
        <v>224</v>
      </c>
      <c r="O427" s="89">
        <v>43834</v>
      </c>
      <c r="P427" s="92" t="s">
        <v>65</v>
      </c>
      <c r="Q427" s="78" t="s">
        <v>47</v>
      </c>
      <c r="R427" s="163">
        <v>45</v>
      </c>
      <c r="S427" s="104"/>
      <c r="T427" s="22"/>
      <c r="U427" s="22"/>
      <c r="V427" s="91" t="s">
        <v>41</v>
      </c>
      <c r="X427"/>
      <c r="Y427" s="69"/>
      <c r="Z427"/>
      <c r="AA427" s="33"/>
    </row>
    <row r="428" spans="1:27" s="73" customFormat="1" ht="30" hidden="1">
      <c r="A428" s="79">
        <v>373</v>
      </c>
      <c r="B428" s="92" t="s">
        <v>221</v>
      </c>
      <c r="C428" s="92">
        <v>3</v>
      </c>
      <c r="D428" s="92" t="s">
        <v>32</v>
      </c>
      <c r="E428" s="92" t="s">
        <v>26</v>
      </c>
      <c r="F428" s="92">
        <v>114</v>
      </c>
      <c r="G428" s="87" t="s">
        <v>75</v>
      </c>
      <c r="H428" s="93">
        <v>0.5</v>
      </c>
      <c r="I428" s="4">
        <v>7</v>
      </c>
      <c r="J428" s="4">
        <v>6</v>
      </c>
      <c r="K428" s="93">
        <v>0.5</v>
      </c>
      <c r="L428" s="4"/>
      <c r="M428" s="114" t="s">
        <v>115</v>
      </c>
      <c r="N428" s="88" t="s">
        <v>224</v>
      </c>
      <c r="O428" s="89">
        <v>43834</v>
      </c>
      <c r="P428" s="92" t="s">
        <v>65</v>
      </c>
      <c r="Q428" s="78" t="s">
        <v>47</v>
      </c>
      <c r="R428" s="163">
        <v>30</v>
      </c>
      <c r="S428" s="104"/>
      <c r="T428" s="22"/>
      <c r="U428" s="22"/>
      <c r="V428" s="91" t="s">
        <v>57</v>
      </c>
      <c r="X428"/>
      <c r="Y428" s="69"/>
      <c r="Z428"/>
      <c r="AA428" s="33"/>
    </row>
    <row r="429" spans="1:27" s="73" customFormat="1" ht="30" hidden="1">
      <c r="A429" s="79">
        <v>374</v>
      </c>
      <c r="B429" s="92" t="s">
        <v>221</v>
      </c>
      <c r="C429" s="92">
        <v>4</v>
      </c>
      <c r="D429" s="92" t="s">
        <v>32</v>
      </c>
      <c r="E429" s="92" t="s">
        <v>28</v>
      </c>
      <c r="F429" s="92">
        <v>115</v>
      </c>
      <c r="G429" s="87" t="s">
        <v>72</v>
      </c>
      <c r="H429" s="93">
        <v>3.7</v>
      </c>
      <c r="I429" s="4">
        <v>206</v>
      </c>
      <c r="J429" s="4">
        <f>165+2</f>
        <v>167</v>
      </c>
      <c r="K429" s="93">
        <v>3.7</v>
      </c>
      <c r="L429" s="4"/>
      <c r="M429" s="114" t="s">
        <v>115</v>
      </c>
      <c r="N429" s="88" t="s">
        <v>224</v>
      </c>
      <c r="O429" s="89">
        <v>43834</v>
      </c>
      <c r="P429" s="92" t="s">
        <v>65</v>
      </c>
      <c r="Q429" s="78" t="s">
        <v>47</v>
      </c>
      <c r="R429" s="163">
        <v>751</v>
      </c>
      <c r="S429" s="104"/>
      <c r="T429" s="22"/>
      <c r="U429" s="22"/>
      <c r="V429" s="91" t="s">
        <v>39</v>
      </c>
      <c r="X429"/>
      <c r="Y429" s="69"/>
      <c r="Z429"/>
      <c r="AA429" s="33"/>
    </row>
    <row r="430" spans="1:27" s="73" customFormat="1" ht="30" hidden="1">
      <c r="A430" s="79">
        <v>375</v>
      </c>
      <c r="B430" s="92" t="s">
        <v>221</v>
      </c>
      <c r="C430" s="92">
        <v>4</v>
      </c>
      <c r="D430" s="92" t="s">
        <v>32</v>
      </c>
      <c r="E430" s="92" t="s">
        <v>26</v>
      </c>
      <c r="F430" s="92">
        <v>119</v>
      </c>
      <c r="G430" s="87" t="s">
        <v>71</v>
      </c>
      <c r="H430" s="93">
        <v>11.7</v>
      </c>
      <c r="I430" s="4">
        <v>150</v>
      </c>
      <c r="J430" s="4">
        <f>130+6</f>
        <v>136</v>
      </c>
      <c r="K430" s="93">
        <v>11.7</v>
      </c>
      <c r="L430" s="4"/>
      <c r="M430" s="114" t="s">
        <v>115</v>
      </c>
      <c r="N430" s="88" t="s">
        <v>224</v>
      </c>
      <c r="O430" s="89">
        <v>43834</v>
      </c>
      <c r="P430" s="92" t="s">
        <v>65</v>
      </c>
      <c r="Q430" s="78" t="s">
        <v>48</v>
      </c>
      <c r="R430" s="163">
        <v>778</v>
      </c>
      <c r="S430" s="104"/>
      <c r="T430" s="22"/>
      <c r="U430" s="22"/>
      <c r="V430" s="91" t="s">
        <v>40</v>
      </c>
      <c r="X430"/>
      <c r="Y430" s="69"/>
      <c r="Z430"/>
      <c r="AA430" s="33"/>
    </row>
    <row r="431" spans="1:27" s="73" customFormat="1" ht="30" hidden="1">
      <c r="A431" s="79">
        <v>376</v>
      </c>
      <c r="B431" s="92" t="s">
        <v>221</v>
      </c>
      <c r="C431" s="92">
        <v>4</v>
      </c>
      <c r="D431" s="92" t="s">
        <v>32</v>
      </c>
      <c r="E431" s="92" t="s">
        <v>28</v>
      </c>
      <c r="F431" s="92">
        <v>119</v>
      </c>
      <c r="G431" s="87" t="s">
        <v>69</v>
      </c>
      <c r="H431" s="93">
        <v>1</v>
      </c>
      <c r="I431" s="4">
        <v>11</v>
      </c>
      <c r="J431" s="4">
        <v>10</v>
      </c>
      <c r="K431" s="93">
        <v>1</v>
      </c>
      <c r="L431" s="4"/>
      <c r="M431" s="114" t="s">
        <v>115</v>
      </c>
      <c r="N431" s="88" t="s">
        <v>224</v>
      </c>
      <c r="O431" s="89">
        <v>43834</v>
      </c>
      <c r="P431" s="92" t="s">
        <v>65</v>
      </c>
      <c r="Q431" s="78" t="s">
        <v>48</v>
      </c>
      <c r="R431" s="163">
        <v>36</v>
      </c>
      <c r="S431" s="104"/>
      <c r="T431" s="22"/>
      <c r="U431" s="22"/>
      <c r="V431" s="91" t="s">
        <v>40</v>
      </c>
      <c r="X431"/>
      <c r="Y431" s="69"/>
      <c r="Z431"/>
      <c r="AA431" s="33"/>
    </row>
    <row r="432" spans="1:27" s="73" customFormat="1" ht="30" hidden="1">
      <c r="A432" s="79">
        <v>377</v>
      </c>
      <c r="B432" s="92" t="s">
        <v>221</v>
      </c>
      <c r="C432" s="92">
        <v>4</v>
      </c>
      <c r="D432" s="92" t="s">
        <v>32</v>
      </c>
      <c r="E432" s="92" t="s">
        <v>28</v>
      </c>
      <c r="F432" s="92">
        <v>119</v>
      </c>
      <c r="G432" s="87" t="s">
        <v>68</v>
      </c>
      <c r="H432" s="93">
        <v>2.2999999999999998</v>
      </c>
      <c r="I432" s="4">
        <v>11</v>
      </c>
      <c r="J432" s="4">
        <v>9</v>
      </c>
      <c r="K432" s="93">
        <v>2.2999999999999998</v>
      </c>
      <c r="L432" s="4"/>
      <c r="M432" s="114" t="s">
        <v>115</v>
      </c>
      <c r="N432" s="88" t="s">
        <v>224</v>
      </c>
      <c r="O432" s="89">
        <v>43834</v>
      </c>
      <c r="P432" s="92" t="s">
        <v>65</v>
      </c>
      <c r="Q432" s="78" t="s">
        <v>48</v>
      </c>
      <c r="R432" s="163">
        <v>32</v>
      </c>
      <c r="S432" s="104"/>
      <c r="T432" s="22"/>
      <c r="U432" s="22"/>
      <c r="V432" s="91" t="s">
        <v>40</v>
      </c>
      <c r="X432"/>
      <c r="Y432" s="69"/>
      <c r="Z432"/>
      <c r="AA432" s="33"/>
    </row>
    <row r="433" spans="1:27" s="73" customFormat="1" ht="30" hidden="1">
      <c r="A433" s="79">
        <v>378</v>
      </c>
      <c r="B433" s="92" t="s">
        <v>221</v>
      </c>
      <c r="C433" s="92">
        <v>3</v>
      </c>
      <c r="D433" s="92" t="s">
        <v>32</v>
      </c>
      <c r="E433" s="92" t="s">
        <v>28</v>
      </c>
      <c r="F433" s="92">
        <v>120</v>
      </c>
      <c r="G433" s="87" t="s">
        <v>88</v>
      </c>
      <c r="H433" s="93">
        <v>1.3</v>
      </c>
      <c r="I433" s="4">
        <v>31</v>
      </c>
      <c r="J433" s="4">
        <f>25+1</f>
        <v>26</v>
      </c>
      <c r="K433" s="93">
        <v>1.3</v>
      </c>
      <c r="L433" s="4"/>
      <c r="M433" s="114" t="s">
        <v>115</v>
      </c>
      <c r="N433" s="88" t="s">
        <v>224</v>
      </c>
      <c r="O433" s="89">
        <v>43834</v>
      </c>
      <c r="P433" s="92" t="s">
        <v>65</v>
      </c>
      <c r="Q433" s="78" t="s">
        <v>48</v>
      </c>
      <c r="R433" s="163">
        <v>101</v>
      </c>
      <c r="S433" s="104"/>
      <c r="T433" s="22"/>
      <c r="U433" s="22"/>
      <c r="V433" s="91" t="s">
        <v>58</v>
      </c>
      <c r="X433"/>
      <c r="Y433" s="69"/>
      <c r="Z433"/>
      <c r="AA433" s="33"/>
    </row>
    <row r="434" spans="1:27" s="73" customFormat="1" ht="30" hidden="1">
      <c r="A434" s="79">
        <v>379</v>
      </c>
      <c r="B434" s="92" t="s">
        <v>221</v>
      </c>
      <c r="C434" s="92">
        <v>3</v>
      </c>
      <c r="D434" s="92" t="s">
        <v>32</v>
      </c>
      <c r="E434" s="92" t="s">
        <v>26</v>
      </c>
      <c r="F434" s="92">
        <v>120</v>
      </c>
      <c r="G434" s="87" t="s">
        <v>69</v>
      </c>
      <c r="H434" s="93">
        <v>4.2</v>
      </c>
      <c r="I434" s="4">
        <v>80</v>
      </c>
      <c r="J434" s="4">
        <f>64+3</f>
        <v>67</v>
      </c>
      <c r="K434" s="93">
        <v>4.2</v>
      </c>
      <c r="L434" s="4"/>
      <c r="M434" s="114" t="s">
        <v>115</v>
      </c>
      <c r="N434" s="88" t="s">
        <v>224</v>
      </c>
      <c r="O434" s="89">
        <v>43834</v>
      </c>
      <c r="P434" s="92" t="s">
        <v>65</v>
      </c>
      <c r="Q434" s="78" t="s">
        <v>48</v>
      </c>
      <c r="R434" s="163">
        <v>374</v>
      </c>
      <c r="S434" s="104"/>
      <c r="T434" s="22"/>
      <c r="U434" s="22"/>
      <c r="V434" s="91" t="s">
        <v>40</v>
      </c>
      <c r="X434"/>
      <c r="Y434" s="69"/>
      <c r="Z434"/>
      <c r="AA434" s="33"/>
    </row>
    <row r="435" spans="1:27" s="73" customFormat="1" ht="30" hidden="1">
      <c r="A435" s="79">
        <v>380</v>
      </c>
      <c r="B435" s="92" t="s">
        <v>221</v>
      </c>
      <c r="C435" s="92">
        <v>3</v>
      </c>
      <c r="D435" s="92" t="s">
        <v>32</v>
      </c>
      <c r="E435" s="92" t="s">
        <v>28</v>
      </c>
      <c r="F435" s="92">
        <v>120</v>
      </c>
      <c r="G435" s="87" t="s">
        <v>72</v>
      </c>
      <c r="H435" s="93">
        <v>0.4</v>
      </c>
      <c r="I435" s="4">
        <v>3</v>
      </c>
      <c r="J435" s="4">
        <v>3</v>
      </c>
      <c r="K435" s="93">
        <v>0.4</v>
      </c>
      <c r="L435" s="4"/>
      <c r="M435" s="114" t="s">
        <v>115</v>
      </c>
      <c r="N435" s="88" t="s">
        <v>224</v>
      </c>
      <c r="O435" s="89">
        <v>43834</v>
      </c>
      <c r="P435" s="92" t="s">
        <v>65</v>
      </c>
      <c r="Q435" s="78" t="s">
        <v>48</v>
      </c>
      <c r="R435" s="163">
        <v>11</v>
      </c>
      <c r="S435" s="104"/>
      <c r="T435" s="22"/>
      <c r="U435" s="22"/>
      <c r="V435" s="91" t="s">
        <v>40</v>
      </c>
      <c r="X435"/>
      <c r="Y435" s="69"/>
      <c r="Z435"/>
      <c r="AA435" s="33"/>
    </row>
    <row r="436" spans="1:27" s="73" customFormat="1" ht="30" hidden="1">
      <c r="A436" s="79">
        <v>381</v>
      </c>
      <c r="B436" s="92" t="s">
        <v>221</v>
      </c>
      <c r="C436" s="92">
        <v>3</v>
      </c>
      <c r="D436" s="92" t="s">
        <v>32</v>
      </c>
      <c r="E436" s="92" t="s">
        <v>28</v>
      </c>
      <c r="F436" s="92">
        <v>120</v>
      </c>
      <c r="G436" s="87" t="s">
        <v>79</v>
      </c>
      <c r="H436" s="93">
        <v>1.6</v>
      </c>
      <c r="I436" s="4">
        <v>16</v>
      </c>
      <c r="J436" s="4">
        <v>12</v>
      </c>
      <c r="K436" s="93">
        <v>1.6</v>
      </c>
      <c r="L436" s="4"/>
      <c r="M436" s="114" t="s">
        <v>115</v>
      </c>
      <c r="N436" s="88" t="s">
        <v>224</v>
      </c>
      <c r="O436" s="89">
        <v>43834</v>
      </c>
      <c r="P436" s="92" t="s">
        <v>65</v>
      </c>
      <c r="Q436" s="78" t="s">
        <v>48</v>
      </c>
      <c r="R436" s="163">
        <v>43</v>
      </c>
      <c r="S436" s="104"/>
      <c r="T436" s="22"/>
      <c r="U436" s="22"/>
      <c r="V436" s="91" t="s">
        <v>59</v>
      </c>
      <c r="X436"/>
      <c r="Y436" s="69"/>
      <c r="Z436"/>
      <c r="AA436" s="33"/>
    </row>
    <row r="437" spans="1:27" s="73" customFormat="1" ht="30" hidden="1">
      <c r="A437" s="79">
        <v>382</v>
      </c>
      <c r="B437" s="92" t="s">
        <v>221</v>
      </c>
      <c r="C437" s="92">
        <v>4</v>
      </c>
      <c r="D437" s="92" t="s">
        <v>32</v>
      </c>
      <c r="E437" s="92" t="s">
        <v>28</v>
      </c>
      <c r="F437" s="92">
        <v>121</v>
      </c>
      <c r="G437" s="87" t="s">
        <v>72</v>
      </c>
      <c r="H437" s="93">
        <v>1.2</v>
      </c>
      <c r="I437" s="4">
        <v>16</v>
      </c>
      <c r="J437" s="4">
        <v>12</v>
      </c>
      <c r="K437" s="93">
        <v>1.2</v>
      </c>
      <c r="L437" s="4"/>
      <c r="M437" s="114" t="s">
        <v>115</v>
      </c>
      <c r="N437" s="88" t="s">
        <v>224</v>
      </c>
      <c r="O437" s="89">
        <v>43834</v>
      </c>
      <c r="P437" s="92" t="s">
        <v>65</v>
      </c>
      <c r="Q437" s="78" t="s">
        <v>48</v>
      </c>
      <c r="R437" s="163">
        <v>53</v>
      </c>
      <c r="S437" s="104"/>
      <c r="T437" s="22"/>
      <c r="U437" s="22"/>
      <c r="V437" s="91" t="s">
        <v>59</v>
      </c>
      <c r="X437"/>
      <c r="Y437" s="69"/>
      <c r="Z437"/>
      <c r="AA437" s="33"/>
    </row>
    <row r="438" spans="1:27" s="73" customFormat="1" ht="20.25" hidden="1" customHeight="1">
      <c r="A438" s="79">
        <v>383</v>
      </c>
      <c r="B438" s="92" t="s">
        <v>221</v>
      </c>
      <c r="C438" s="92">
        <v>4</v>
      </c>
      <c r="D438" s="92" t="s">
        <v>32</v>
      </c>
      <c r="E438" s="92" t="s">
        <v>28</v>
      </c>
      <c r="F438" s="92">
        <v>50</v>
      </c>
      <c r="G438" s="87" t="s">
        <v>75</v>
      </c>
      <c r="H438" s="93">
        <v>8</v>
      </c>
      <c r="I438" s="4">
        <v>116</v>
      </c>
      <c r="J438" s="4">
        <f>77+2</f>
        <v>79</v>
      </c>
      <c r="K438" s="4">
        <v>8</v>
      </c>
      <c r="L438" s="93"/>
      <c r="M438" s="114" t="s">
        <v>115</v>
      </c>
      <c r="N438" s="88" t="s">
        <v>224</v>
      </c>
      <c r="O438" s="89">
        <v>43834</v>
      </c>
      <c r="P438" s="92" t="s">
        <v>65</v>
      </c>
      <c r="Q438" s="78" t="s">
        <v>48</v>
      </c>
      <c r="R438" s="163">
        <v>251</v>
      </c>
      <c r="S438" s="104"/>
      <c r="T438" s="22"/>
      <c r="U438" s="22"/>
      <c r="V438" s="91" t="s">
        <v>39</v>
      </c>
      <c r="X438"/>
      <c r="Y438" s="69"/>
      <c r="Z438"/>
      <c r="AA438" s="33"/>
    </row>
    <row r="439" spans="1:27" s="73" customFormat="1" ht="30" hidden="1">
      <c r="A439" s="79">
        <v>384</v>
      </c>
      <c r="B439" s="92" t="s">
        <v>221</v>
      </c>
      <c r="C439" s="92">
        <v>4</v>
      </c>
      <c r="D439" s="92" t="s">
        <v>32</v>
      </c>
      <c r="E439" s="92" t="s">
        <v>28</v>
      </c>
      <c r="F439" s="92">
        <v>51</v>
      </c>
      <c r="G439" s="87" t="s">
        <v>88</v>
      </c>
      <c r="H439" s="93">
        <v>8.3000000000000007</v>
      </c>
      <c r="I439" s="4">
        <v>179</v>
      </c>
      <c r="J439" s="4">
        <f>118+5</f>
        <v>123</v>
      </c>
      <c r="K439" s="4">
        <v>8.3000000000000007</v>
      </c>
      <c r="L439" s="93"/>
      <c r="M439" s="114" t="s">
        <v>115</v>
      </c>
      <c r="N439" s="88" t="s">
        <v>224</v>
      </c>
      <c r="O439" s="89">
        <v>43834</v>
      </c>
      <c r="P439" s="92" t="s">
        <v>65</v>
      </c>
      <c r="Q439" s="78" t="s">
        <v>48</v>
      </c>
      <c r="R439" s="163">
        <v>495</v>
      </c>
      <c r="S439" s="104"/>
      <c r="T439" s="22"/>
      <c r="U439" s="22"/>
      <c r="V439" s="91" t="s">
        <v>39</v>
      </c>
      <c r="X439"/>
      <c r="Y439" s="69"/>
      <c r="Z439"/>
      <c r="AA439" s="33"/>
    </row>
    <row r="440" spans="1:27" s="73" customFormat="1" ht="30" hidden="1">
      <c r="A440" s="79">
        <v>385</v>
      </c>
      <c r="B440" s="92" t="s">
        <v>221</v>
      </c>
      <c r="C440" s="92">
        <v>4</v>
      </c>
      <c r="D440" s="92" t="s">
        <v>32</v>
      </c>
      <c r="E440" s="92" t="s">
        <v>28</v>
      </c>
      <c r="F440" s="92">
        <v>53</v>
      </c>
      <c r="G440" s="87" t="s">
        <v>71</v>
      </c>
      <c r="H440" s="93">
        <v>7.9</v>
      </c>
      <c r="I440" s="4">
        <v>91</v>
      </c>
      <c r="J440" s="4">
        <f>79+2</f>
        <v>81</v>
      </c>
      <c r="K440" s="4">
        <v>7.9</v>
      </c>
      <c r="L440" s="93"/>
      <c r="M440" s="114" t="s">
        <v>115</v>
      </c>
      <c r="N440" s="88" t="s">
        <v>224</v>
      </c>
      <c r="O440" s="89">
        <v>43834</v>
      </c>
      <c r="P440" s="92" t="s">
        <v>65</v>
      </c>
      <c r="Q440" s="78" t="s">
        <v>49</v>
      </c>
      <c r="R440" s="163">
        <v>225</v>
      </c>
      <c r="S440" s="104"/>
      <c r="T440" s="22"/>
      <c r="U440" s="22"/>
      <c r="V440" s="91" t="s">
        <v>39</v>
      </c>
      <c r="X440"/>
      <c r="Y440" s="69"/>
      <c r="Z440"/>
      <c r="AA440" s="33"/>
    </row>
    <row r="441" spans="1:27" s="73" customFormat="1" ht="30" hidden="1">
      <c r="A441" s="79">
        <v>386</v>
      </c>
      <c r="B441" s="92" t="s">
        <v>221</v>
      </c>
      <c r="C441" s="92">
        <v>4</v>
      </c>
      <c r="D441" s="92" t="s">
        <v>32</v>
      </c>
      <c r="E441" s="92" t="s">
        <v>28</v>
      </c>
      <c r="F441" s="92">
        <v>53</v>
      </c>
      <c r="G441" s="87" t="s">
        <v>82</v>
      </c>
      <c r="H441" s="93">
        <v>2.5</v>
      </c>
      <c r="I441" s="4">
        <v>57</v>
      </c>
      <c r="J441" s="4">
        <f>46+1</f>
        <v>47</v>
      </c>
      <c r="K441" s="4">
        <v>2.5</v>
      </c>
      <c r="L441" s="93"/>
      <c r="M441" s="114" t="s">
        <v>115</v>
      </c>
      <c r="N441" s="88" t="s">
        <v>224</v>
      </c>
      <c r="O441" s="89">
        <v>43834</v>
      </c>
      <c r="P441" s="92" t="s">
        <v>65</v>
      </c>
      <c r="Q441" s="78" t="s">
        <v>49</v>
      </c>
      <c r="R441" s="163">
        <v>472</v>
      </c>
      <c r="S441" s="104"/>
      <c r="T441" s="22"/>
      <c r="U441" s="22"/>
      <c r="V441" s="91" t="s">
        <v>39</v>
      </c>
      <c r="X441"/>
      <c r="Y441" s="69"/>
      <c r="Z441"/>
      <c r="AA441" s="33"/>
    </row>
    <row r="442" spans="1:27" s="73" customFormat="1" ht="30" hidden="1">
      <c r="A442" s="79">
        <v>387</v>
      </c>
      <c r="B442" s="92" t="s">
        <v>221</v>
      </c>
      <c r="C442" s="92">
        <v>4</v>
      </c>
      <c r="D442" s="92" t="s">
        <v>32</v>
      </c>
      <c r="E442" s="92" t="s">
        <v>26</v>
      </c>
      <c r="F442" s="92">
        <v>54</v>
      </c>
      <c r="G442" s="87" t="s">
        <v>85</v>
      </c>
      <c r="H442" s="93">
        <v>14.4</v>
      </c>
      <c r="I442" s="4">
        <v>456</v>
      </c>
      <c r="J442" s="4">
        <f>288+23</f>
        <v>311</v>
      </c>
      <c r="K442" s="4">
        <v>14.4</v>
      </c>
      <c r="L442" s="93"/>
      <c r="M442" s="114" t="s">
        <v>115</v>
      </c>
      <c r="N442" s="88" t="s">
        <v>224</v>
      </c>
      <c r="O442" s="89">
        <v>43834</v>
      </c>
      <c r="P442" s="92" t="s">
        <v>65</v>
      </c>
      <c r="Q442" s="78" t="s">
        <v>49</v>
      </c>
      <c r="R442" s="163">
        <v>1199</v>
      </c>
      <c r="S442" s="104"/>
      <c r="T442" s="22"/>
      <c r="U442" s="22"/>
      <c r="V442" s="91" t="s">
        <v>39</v>
      </c>
      <c r="X442"/>
      <c r="Y442" s="69"/>
      <c r="Z442"/>
      <c r="AA442" s="33"/>
    </row>
    <row r="443" spans="1:27" s="73" customFormat="1" ht="30" hidden="1">
      <c r="A443" s="79">
        <v>388</v>
      </c>
      <c r="B443" s="92" t="s">
        <v>221</v>
      </c>
      <c r="C443" s="92">
        <v>4</v>
      </c>
      <c r="D443" s="92" t="s">
        <v>32</v>
      </c>
      <c r="E443" s="92" t="s">
        <v>28</v>
      </c>
      <c r="F443" s="92">
        <v>55</v>
      </c>
      <c r="G443" s="87" t="s">
        <v>80</v>
      </c>
      <c r="H443" s="93">
        <v>3.4</v>
      </c>
      <c r="I443" s="4">
        <v>138</v>
      </c>
      <c r="J443" s="4">
        <f>78+1</f>
        <v>79</v>
      </c>
      <c r="K443" s="4">
        <v>3.4</v>
      </c>
      <c r="L443" s="93"/>
      <c r="M443" s="114" t="s">
        <v>115</v>
      </c>
      <c r="N443" s="88" t="s">
        <v>224</v>
      </c>
      <c r="O443" s="89">
        <v>43834</v>
      </c>
      <c r="P443" s="92" t="s">
        <v>65</v>
      </c>
      <c r="Q443" s="78" t="s">
        <v>49</v>
      </c>
      <c r="R443" s="163">
        <v>383</v>
      </c>
      <c r="S443" s="104"/>
      <c r="T443" s="22"/>
      <c r="U443" s="22"/>
      <c r="V443" s="91" t="s">
        <v>39</v>
      </c>
      <c r="X443"/>
      <c r="Y443" s="69"/>
      <c r="Z443"/>
      <c r="AA443" s="33"/>
    </row>
    <row r="444" spans="1:27" s="73" customFormat="1" ht="30" hidden="1">
      <c r="A444" s="79">
        <v>389</v>
      </c>
      <c r="B444" s="92" t="s">
        <v>221</v>
      </c>
      <c r="C444" s="92">
        <v>4</v>
      </c>
      <c r="D444" s="92" t="s">
        <v>32</v>
      </c>
      <c r="E444" s="92" t="s">
        <v>28</v>
      </c>
      <c r="F444" s="92">
        <v>80</v>
      </c>
      <c r="G444" s="87" t="s">
        <v>69</v>
      </c>
      <c r="H444" s="93">
        <v>1.3</v>
      </c>
      <c r="I444" s="4">
        <v>35</v>
      </c>
      <c r="J444" s="4">
        <v>20</v>
      </c>
      <c r="K444" s="4">
        <v>1.3</v>
      </c>
      <c r="L444" s="93"/>
      <c r="M444" s="114" t="s">
        <v>115</v>
      </c>
      <c r="N444" s="88" t="s">
        <v>224</v>
      </c>
      <c r="O444" s="89">
        <v>43834</v>
      </c>
      <c r="P444" s="92" t="s">
        <v>65</v>
      </c>
      <c r="Q444" s="78" t="s">
        <v>48</v>
      </c>
      <c r="R444" s="163">
        <v>59</v>
      </c>
      <c r="S444" s="104"/>
      <c r="T444" s="22"/>
      <c r="U444" s="22"/>
      <c r="V444" s="91" t="s">
        <v>39</v>
      </c>
      <c r="X444"/>
      <c r="Y444" s="69"/>
      <c r="Z444"/>
      <c r="AA444" s="33"/>
    </row>
    <row r="445" spans="1:27" s="73" customFormat="1" ht="30" hidden="1">
      <c r="A445" s="79">
        <v>390</v>
      </c>
      <c r="B445" s="92" t="s">
        <v>221</v>
      </c>
      <c r="C445" s="92">
        <v>4</v>
      </c>
      <c r="D445" s="92" t="s">
        <v>32</v>
      </c>
      <c r="E445" s="92" t="s">
        <v>28</v>
      </c>
      <c r="F445" s="92">
        <v>84</v>
      </c>
      <c r="G445" s="87" t="s">
        <v>69</v>
      </c>
      <c r="H445" s="93">
        <v>6.7</v>
      </c>
      <c r="I445" s="4">
        <v>105</v>
      </c>
      <c r="J445" s="4">
        <f>78+2</f>
        <v>80</v>
      </c>
      <c r="K445" s="4">
        <v>6.7</v>
      </c>
      <c r="L445" s="93"/>
      <c r="M445" s="114" t="s">
        <v>115</v>
      </c>
      <c r="N445" s="88" t="s">
        <v>224</v>
      </c>
      <c r="O445" s="89">
        <v>43834</v>
      </c>
      <c r="P445" s="92" t="s">
        <v>65</v>
      </c>
      <c r="Q445" s="78" t="s">
        <v>48</v>
      </c>
      <c r="R445" s="163">
        <v>220</v>
      </c>
      <c r="S445" s="104"/>
      <c r="T445" s="22"/>
      <c r="U445" s="22"/>
      <c r="V445" s="91" t="s">
        <v>39</v>
      </c>
      <c r="X445"/>
      <c r="Y445" s="69"/>
      <c r="Z445"/>
      <c r="AA445" s="33"/>
    </row>
    <row r="446" spans="1:27" s="73" customFormat="1" ht="30" hidden="1">
      <c r="A446" s="79">
        <v>391</v>
      </c>
      <c r="B446" s="92" t="s">
        <v>221</v>
      </c>
      <c r="C446" s="92">
        <v>4</v>
      </c>
      <c r="D446" s="92" t="s">
        <v>32</v>
      </c>
      <c r="E446" s="92" t="s">
        <v>26</v>
      </c>
      <c r="F446" s="92">
        <v>87</v>
      </c>
      <c r="G446" s="87" t="s">
        <v>77</v>
      </c>
      <c r="H446" s="93">
        <v>0.4</v>
      </c>
      <c r="I446" s="4">
        <v>8</v>
      </c>
      <c r="J446" s="4">
        <v>8</v>
      </c>
      <c r="K446" s="4">
        <v>0.4</v>
      </c>
      <c r="L446" s="93"/>
      <c r="M446" s="114" t="s">
        <v>115</v>
      </c>
      <c r="N446" s="88" t="s">
        <v>224</v>
      </c>
      <c r="O446" s="89">
        <v>43834</v>
      </c>
      <c r="P446" s="92" t="s">
        <v>65</v>
      </c>
      <c r="Q446" s="78" t="s">
        <v>47</v>
      </c>
      <c r="R446" s="163">
        <v>42</v>
      </c>
      <c r="S446" s="104"/>
      <c r="T446" s="22"/>
      <c r="U446" s="22"/>
      <c r="V446" s="91" t="s">
        <v>39</v>
      </c>
      <c r="X446"/>
      <c r="Y446" s="69"/>
      <c r="Z446"/>
      <c r="AA446" s="33"/>
    </row>
    <row r="447" spans="1:27" s="73" customFormat="1" hidden="1">
      <c r="A447" s="79">
        <v>392</v>
      </c>
      <c r="B447" s="92" t="s">
        <v>221</v>
      </c>
      <c r="C447" s="92">
        <v>4</v>
      </c>
      <c r="D447" s="92" t="s">
        <v>251</v>
      </c>
      <c r="E447" s="92" t="s">
        <v>28</v>
      </c>
      <c r="F447" s="92">
        <v>110</v>
      </c>
      <c r="G447" s="87" t="s">
        <v>73</v>
      </c>
      <c r="H447" s="93">
        <v>0.6</v>
      </c>
      <c r="I447" s="4">
        <v>135</v>
      </c>
      <c r="J447" s="4">
        <v>113</v>
      </c>
      <c r="K447" s="4"/>
      <c r="L447" s="93">
        <v>0.6</v>
      </c>
      <c r="M447" s="114" t="s">
        <v>115</v>
      </c>
      <c r="N447" s="88" t="s">
        <v>259</v>
      </c>
      <c r="O447" s="89">
        <v>43860</v>
      </c>
      <c r="P447" s="92" t="s">
        <v>65</v>
      </c>
      <c r="Q447" s="78" t="s">
        <v>49</v>
      </c>
      <c r="R447" s="163">
        <v>2333</v>
      </c>
      <c r="S447" s="104"/>
      <c r="T447" s="22"/>
      <c r="U447" s="22"/>
      <c r="V447" s="91"/>
      <c r="X447"/>
      <c r="Y447" s="69"/>
      <c r="Z447"/>
      <c r="AA447" s="33"/>
    </row>
    <row r="448" spans="1:27" s="73" customFormat="1" hidden="1">
      <c r="A448" s="79">
        <v>393</v>
      </c>
      <c r="B448" s="92" t="s">
        <v>221</v>
      </c>
      <c r="C448" s="92">
        <v>4</v>
      </c>
      <c r="D448" s="92" t="s">
        <v>251</v>
      </c>
      <c r="E448" s="92" t="s">
        <v>28</v>
      </c>
      <c r="F448" s="92">
        <v>110</v>
      </c>
      <c r="G448" s="87" t="s">
        <v>258</v>
      </c>
      <c r="H448" s="93">
        <v>0.2</v>
      </c>
      <c r="I448" s="4">
        <v>58</v>
      </c>
      <c r="J448" s="4">
        <v>47</v>
      </c>
      <c r="K448" s="4"/>
      <c r="L448" s="93">
        <v>0.2</v>
      </c>
      <c r="M448" s="114" t="s">
        <v>115</v>
      </c>
      <c r="N448" s="88" t="s">
        <v>259</v>
      </c>
      <c r="O448" s="89">
        <v>43860</v>
      </c>
      <c r="P448" s="92" t="s">
        <v>65</v>
      </c>
      <c r="Q448" s="78" t="s">
        <v>49</v>
      </c>
      <c r="R448" s="163">
        <v>922</v>
      </c>
      <c r="S448" s="104"/>
      <c r="T448" s="22"/>
      <c r="U448" s="22"/>
      <c r="V448" s="91"/>
      <c r="X448"/>
      <c r="Y448" s="69"/>
      <c r="Z448"/>
      <c r="AA448" s="33"/>
    </row>
    <row r="449" spans="1:27" s="73" customFormat="1">
      <c r="A449" s="79"/>
      <c r="B449" s="447" t="s">
        <v>30</v>
      </c>
      <c r="C449" s="448"/>
      <c r="D449" s="92" t="s">
        <v>286</v>
      </c>
      <c r="E449" s="92"/>
      <c r="F449" s="92"/>
      <c r="G449" s="87"/>
      <c r="H449" s="93"/>
      <c r="I449" s="4"/>
      <c r="J449" s="163">
        <f>J424</f>
        <v>149</v>
      </c>
      <c r="K449" s="4"/>
      <c r="L449" s="93"/>
      <c r="M449" s="114"/>
      <c r="N449" s="88"/>
      <c r="O449" s="89"/>
      <c r="P449" s="92" t="s">
        <v>65</v>
      </c>
      <c r="Q449" s="78" t="s">
        <v>48</v>
      </c>
      <c r="R449" s="163">
        <f>R424</f>
        <v>5056</v>
      </c>
      <c r="S449" s="104"/>
      <c r="T449" s="22"/>
      <c r="U449" s="22"/>
      <c r="V449" s="91"/>
      <c r="X449"/>
      <c r="Y449" s="69"/>
      <c r="Z449"/>
      <c r="AA449" s="33"/>
    </row>
    <row r="450" spans="1:27" s="73" customFormat="1">
      <c r="A450" s="79"/>
      <c r="B450" s="449"/>
      <c r="C450" s="450"/>
      <c r="D450" s="443" t="s">
        <v>284</v>
      </c>
      <c r="E450" s="92"/>
      <c r="F450" s="92"/>
      <c r="G450" s="87"/>
      <c r="H450" s="93"/>
      <c r="I450" s="4"/>
      <c r="J450" s="163">
        <f>J426+J430+J431+J432+J433+J434+J435+J436+J437+J438+J439+J444+J445</f>
        <v>584</v>
      </c>
      <c r="K450" s="4"/>
      <c r="L450" s="93"/>
      <c r="M450" s="114"/>
      <c r="N450" s="88"/>
      <c r="O450" s="89"/>
      <c r="P450" s="92" t="s">
        <v>65</v>
      </c>
      <c r="Q450" s="78" t="s">
        <v>48</v>
      </c>
      <c r="R450" s="163">
        <f>R426+R430+R431+R432+R433+R434+R435+R436+R437+R438+R439+R444+R445</f>
        <v>2485</v>
      </c>
      <c r="S450" s="104"/>
      <c r="T450" s="22"/>
      <c r="U450" s="22"/>
      <c r="V450" s="91"/>
      <c r="X450"/>
      <c r="Y450" s="69"/>
      <c r="Z450"/>
      <c r="AA450" s="33"/>
    </row>
    <row r="451" spans="1:27" s="73" customFormat="1">
      <c r="A451" s="79"/>
      <c r="B451" s="449"/>
      <c r="C451" s="450"/>
      <c r="D451" s="445"/>
      <c r="E451" s="92"/>
      <c r="F451" s="92"/>
      <c r="G451" s="87"/>
      <c r="H451" s="93"/>
      <c r="I451" s="4"/>
      <c r="J451" s="163">
        <f>J425+J427+J428+J429+J446</f>
        <v>265</v>
      </c>
      <c r="K451" s="4"/>
      <c r="L451" s="93"/>
      <c r="M451" s="114"/>
      <c r="N451" s="88"/>
      <c r="O451" s="89"/>
      <c r="P451" s="92" t="s">
        <v>65</v>
      </c>
      <c r="Q451" s="78" t="s">
        <v>47</v>
      </c>
      <c r="R451" s="163">
        <f>R425+R427+R428+R429+R446</f>
        <v>2764</v>
      </c>
      <c r="S451" s="104"/>
      <c r="T451" s="22"/>
      <c r="U451" s="22"/>
      <c r="V451" s="91"/>
      <c r="X451"/>
      <c r="Y451" s="69"/>
      <c r="Z451"/>
      <c r="AA451" s="33"/>
    </row>
    <row r="452" spans="1:27" s="73" customFormat="1">
      <c r="A452" s="79"/>
      <c r="B452" s="449"/>
      <c r="C452" s="450"/>
      <c r="D452" s="444"/>
      <c r="E452" s="92"/>
      <c r="F452" s="92"/>
      <c r="G452" s="87"/>
      <c r="H452" s="93"/>
      <c r="I452" s="4"/>
      <c r="J452" s="163">
        <f>J440+J441+J442+J443</f>
        <v>518</v>
      </c>
      <c r="K452" s="4"/>
      <c r="L452" s="93"/>
      <c r="M452" s="114"/>
      <c r="N452" s="88"/>
      <c r="O452" s="89"/>
      <c r="P452" s="92" t="s">
        <v>65</v>
      </c>
      <c r="Q452" s="78" t="s">
        <v>49</v>
      </c>
      <c r="R452" s="163">
        <f>R440+R441+R442+R443</f>
        <v>2279</v>
      </c>
      <c r="S452" s="104"/>
      <c r="T452" s="22"/>
      <c r="U452" s="22"/>
      <c r="V452" s="91"/>
      <c r="X452"/>
      <c r="Y452" s="69"/>
      <c r="Z452"/>
      <c r="AA452" s="33"/>
    </row>
    <row r="453" spans="1:27" s="73" customFormat="1">
      <c r="A453" s="79"/>
      <c r="B453" s="451"/>
      <c r="C453" s="452"/>
      <c r="D453" s="92" t="s">
        <v>285</v>
      </c>
      <c r="E453" s="92"/>
      <c r="F453" s="92"/>
      <c r="G453" s="87"/>
      <c r="H453" s="93"/>
      <c r="I453" s="4"/>
      <c r="J453" s="163">
        <f>J448+J447</f>
        <v>160</v>
      </c>
      <c r="K453" s="4"/>
      <c r="L453" s="93"/>
      <c r="M453" s="114"/>
      <c r="N453" s="88"/>
      <c r="O453" s="89"/>
      <c r="P453" s="92" t="s">
        <v>65</v>
      </c>
      <c r="Q453" s="78" t="s">
        <v>49</v>
      </c>
      <c r="R453" s="163">
        <f>R448+R447</f>
        <v>3255</v>
      </c>
      <c r="S453" s="104"/>
      <c r="T453" s="22"/>
      <c r="U453" s="22"/>
      <c r="V453" s="91"/>
      <c r="X453"/>
      <c r="Y453" s="69"/>
      <c r="Z453"/>
      <c r="AA453" s="33"/>
    </row>
    <row r="454" spans="1:27" s="73" customFormat="1" ht="30" hidden="1">
      <c r="A454" s="79">
        <v>394</v>
      </c>
      <c r="B454" s="92" t="s">
        <v>221</v>
      </c>
      <c r="C454" s="92">
        <v>4</v>
      </c>
      <c r="D454" s="92" t="s">
        <v>308</v>
      </c>
      <c r="E454" s="92" t="s">
        <v>26</v>
      </c>
      <c r="F454" s="92">
        <v>50</v>
      </c>
      <c r="G454" s="87" t="s">
        <v>90</v>
      </c>
      <c r="H454" s="93">
        <v>0.9</v>
      </c>
      <c r="I454" s="4">
        <v>3</v>
      </c>
      <c r="J454" s="4"/>
      <c r="K454" s="4"/>
      <c r="L454" s="93">
        <v>0.9</v>
      </c>
      <c r="M454" s="114" t="s">
        <v>115</v>
      </c>
      <c r="N454" s="88" t="s">
        <v>309</v>
      </c>
      <c r="O454" s="89">
        <v>43903</v>
      </c>
      <c r="P454" s="92" t="s">
        <v>65</v>
      </c>
      <c r="Q454" s="78" t="s">
        <v>48</v>
      </c>
      <c r="R454" s="163"/>
      <c r="S454" s="104"/>
      <c r="T454" s="22"/>
      <c r="U454" s="22"/>
      <c r="V454" s="91"/>
      <c r="X454"/>
      <c r="Y454" s="69"/>
      <c r="Z454"/>
      <c r="AA454" s="33"/>
    </row>
    <row r="455" spans="1:27" s="73" customFormat="1" ht="30" hidden="1">
      <c r="A455" s="79">
        <v>395</v>
      </c>
      <c r="B455" s="92" t="s">
        <v>221</v>
      </c>
      <c r="C455" s="92">
        <v>4</v>
      </c>
      <c r="D455" s="92" t="s">
        <v>308</v>
      </c>
      <c r="E455" s="92" t="s">
        <v>26</v>
      </c>
      <c r="F455" s="92">
        <v>51</v>
      </c>
      <c r="G455" s="87" t="s">
        <v>92</v>
      </c>
      <c r="H455" s="93">
        <v>0.7</v>
      </c>
      <c r="I455" s="4">
        <v>3</v>
      </c>
      <c r="J455" s="4"/>
      <c r="K455" s="4"/>
      <c r="L455" s="93">
        <v>0.7</v>
      </c>
      <c r="M455" s="114" t="s">
        <v>115</v>
      </c>
      <c r="N455" s="88" t="s">
        <v>309</v>
      </c>
      <c r="O455" s="89">
        <v>43903</v>
      </c>
      <c r="P455" s="92" t="s">
        <v>65</v>
      </c>
      <c r="Q455" s="78" t="s">
        <v>48</v>
      </c>
      <c r="R455" s="163"/>
      <c r="S455" s="104"/>
      <c r="T455" s="22"/>
      <c r="U455" s="22"/>
      <c r="V455" s="91"/>
      <c r="X455"/>
      <c r="Y455" s="69"/>
      <c r="Z455"/>
      <c r="AA455" s="33"/>
    </row>
    <row r="456" spans="1:27" s="73" customFormat="1" ht="30" hidden="1">
      <c r="A456" s="79">
        <v>396</v>
      </c>
      <c r="B456" s="92" t="s">
        <v>221</v>
      </c>
      <c r="C456" s="92">
        <v>4</v>
      </c>
      <c r="D456" s="92" t="s">
        <v>308</v>
      </c>
      <c r="E456" s="92" t="s">
        <v>26</v>
      </c>
      <c r="F456" s="92">
        <v>52</v>
      </c>
      <c r="G456" s="87" t="s">
        <v>86</v>
      </c>
      <c r="H456" s="93">
        <v>0.7</v>
      </c>
      <c r="I456" s="4">
        <v>3</v>
      </c>
      <c r="J456" s="4"/>
      <c r="K456" s="4"/>
      <c r="L456" s="93">
        <v>0.7</v>
      </c>
      <c r="M456" s="114" t="s">
        <v>115</v>
      </c>
      <c r="N456" s="88" t="s">
        <v>309</v>
      </c>
      <c r="O456" s="89">
        <v>43903</v>
      </c>
      <c r="P456" s="92" t="s">
        <v>65</v>
      </c>
      <c r="Q456" s="78" t="s">
        <v>48</v>
      </c>
      <c r="R456" s="163"/>
      <c r="S456" s="104"/>
      <c r="T456" s="22"/>
      <c r="U456" s="22"/>
      <c r="V456" s="91"/>
      <c r="X456"/>
      <c r="Y456" s="69"/>
      <c r="Z456"/>
      <c r="AA456" s="33"/>
    </row>
    <row r="457" spans="1:27" s="73" customFormat="1" ht="30" hidden="1">
      <c r="A457" s="79">
        <v>397</v>
      </c>
      <c r="B457" s="92" t="s">
        <v>221</v>
      </c>
      <c r="C457" s="92">
        <v>4</v>
      </c>
      <c r="D457" s="92" t="s">
        <v>308</v>
      </c>
      <c r="E457" s="92" t="s">
        <v>26</v>
      </c>
      <c r="F457" s="92">
        <v>53</v>
      </c>
      <c r="G457" s="87" t="s">
        <v>86</v>
      </c>
      <c r="H457" s="93">
        <v>0.7</v>
      </c>
      <c r="I457" s="4">
        <v>2</v>
      </c>
      <c r="J457" s="4"/>
      <c r="K457" s="4"/>
      <c r="L457" s="93">
        <v>0.7</v>
      </c>
      <c r="M457" s="114" t="s">
        <v>115</v>
      </c>
      <c r="N457" s="88" t="s">
        <v>309</v>
      </c>
      <c r="O457" s="89">
        <v>43903</v>
      </c>
      <c r="P457" s="92" t="s">
        <v>65</v>
      </c>
      <c r="Q457" s="78" t="s">
        <v>49</v>
      </c>
      <c r="R457" s="163"/>
      <c r="S457" s="104"/>
      <c r="T457" s="22"/>
      <c r="U457" s="22"/>
      <c r="V457" s="91"/>
      <c r="X457"/>
      <c r="Y457" s="69"/>
      <c r="Z457"/>
      <c r="AA457" s="33"/>
    </row>
    <row r="458" spans="1:27" s="73" customFormat="1" ht="30" hidden="1">
      <c r="A458" s="79">
        <v>398</v>
      </c>
      <c r="B458" s="92" t="s">
        <v>221</v>
      </c>
      <c r="C458" s="92">
        <v>4</v>
      </c>
      <c r="D458" s="92" t="s">
        <v>308</v>
      </c>
      <c r="E458" s="92" t="s">
        <v>26</v>
      </c>
      <c r="F458" s="92">
        <v>54</v>
      </c>
      <c r="G458" s="87" t="s">
        <v>89</v>
      </c>
      <c r="H458" s="93">
        <v>1.5</v>
      </c>
      <c r="I458" s="4">
        <v>3</v>
      </c>
      <c r="J458" s="4"/>
      <c r="K458" s="4"/>
      <c r="L458" s="93">
        <v>1.5</v>
      </c>
      <c r="M458" s="114" t="s">
        <v>115</v>
      </c>
      <c r="N458" s="88" t="s">
        <v>309</v>
      </c>
      <c r="O458" s="89">
        <v>43903</v>
      </c>
      <c r="P458" s="92" t="s">
        <v>65</v>
      </c>
      <c r="Q458" s="78" t="s">
        <v>49</v>
      </c>
      <c r="R458" s="163"/>
      <c r="S458" s="104"/>
      <c r="T458" s="22"/>
      <c r="U458" s="22"/>
      <c r="V458" s="91"/>
      <c r="X458"/>
      <c r="Y458" s="69"/>
      <c r="Z458"/>
      <c r="AA458" s="33"/>
    </row>
    <row r="459" spans="1:27" s="73" customFormat="1" ht="30" hidden="1">
      <c r="A459" s="79">
        <v>399</v>
      </c>
      <c r="B459" s="92" t="s">
        <v>221</v>
      </c>
      <c r="C459" s="92">
        <v>4</v>
      </c>
      <c r="D459" s="92" t="s">
        <v>308</v>
      </c>
      <c r="E459" s="92" t="s">
        <v>26</v>
      </c>
      <c r="F459" s="92">
        <v>55</v>
      </c>
      <c r="G459" s="87" t="s">
        <v>76</v>
      </c>
      <c r="H459" s="93">
        <v>0.8</v>
      </c>
      <c r="I459" s="4">
        <v>3</v>
      </c>
      <c r="J459" s="4"/>
      <c r="K459" s="4"/>
      <c r="L459" s="93">
        <v>0.8</v>
      </c>
      <c r="M459" s="114" t="s">
        <v>115</v>
      </c>
      <c r="N459" s="88" t="s">
        <v>309</v>
      </c>
      <c r="O459" s="89">
        <v>43903</v>
      </c>
      <c r="P459" s="92" t="s">
        <v>65</v>
      </c>
      <c r="Q459" s="78" t="s">
        <v>49</v>
      </c>
      <c r="R459" s="163"/>
      <c r="S459" s="104"/>
      <c r="T459" s="22"/>
      <c r="U459" s="22"/>
      <c r="V459" s="91"/>
      <c r="X459"/>
      <c r="Y459" s="69"/>
      <c r="Z459"/>
      <c r="AA459" s="33"/>
    </row>
    <row r="460" spans="1:27" s="73" customFormat="1" ht="30" hidden="1">
      <c r="A460" s="79">
        <v>400</v>
      </c>
      <c r="B460" s="92" t="s">
        <v>221</v>
      </c>
      <c r="C460" s="92">
        <v>4</v>
      </c>
      <c r="D460" s="92" t="s">
        <v>308</v>
      </c>
      <c r="E460" s="92" t="s">
        <v>26</v>
      </c>
      <c r="F460" s="92">
        <v>56</v>
      </c>
      <c r="G460" s="87" t="s">
        <v>81</v>
      </c>
      <c r="H460" s="93">
        <v>0.8</v>
      </c>
      <c r="I460" s="4">
        <v>3</v>
      </c>
      <c r="J460" s="4"/>
      <c r="K460" s="4"/>
      <c r="L460" s="93">
        <v>0.8</v>
      </c>
      <c r="M460" s="114" t="s">
        <v>115</v>
      </c>
      <c r="N460" s="88" t="s">
        <v>309</v>
      </c>
      <c r="O460" s="89">
        <v>43903</v>
      </c>
      <c r="P460" s="92" t="s">
        <v>65</v>
      </c>
      <c r="Q460" s="78" t="s">
        <v>49</v>
      </c>
      <c r="R460" s="163"/>
      <c r="S460" s="104"/>
      <c r="T460" s="22"/>
      <c r="U460" s="22"/>
      <c r="V460" s="91"/>
      <c r="X460"/>
      <c r="Y460" s="69"/>
      <c r="Z460"/>
      <c r="AA460" s="33"/>
    </row>
    <row r="461" spans="1:27" s="73" customFormat="1" ht="30" hidden="1">
      <c r="A461" s="79">
        <v>401</v>
      </c>
      <c r="B461" s="92" t="s">
        <v>221</v>
      </c>
      <c r="C461" s="92">
        <v>4</v>
      </c>
      <c r="D461" s="92" t="s">
        <v>308</v>
      </c>
      <c r="E461" s="92" t="s">
        <v>26</v>
      </c>
      <c r="F461" s="92">
        <v>57</v>
      </c>
      <c r="G461" s="87" t="s">
        <v>86</v>
      </c>
      <c r="H461" s="93">
        <v>0.7</v>
      </c>
      <c r="I461" s="4">
        <v>3</v>
      </c>
      <c r="J461" s="4"/>
      <c r="K461" s="4"/>
      <c r="L461" s="93">
        <v>0.7</v>
      </c>
      <c r="M461" s="114" t="s">
        <v>115</v>
      </c>
      <c r="N461" s="88" t="s">
        <v>309</v>
      </c>
      <c r="O461" s="89">
        <v>43903</v>
      </c>
      <c r="P461" s="92" t="s">
        <v>65</v>
      </c>
      <c r="Q461" s="78" t="s">
        <v>49</v>
      </c>
      <c r="R461" s="163"/>
      <c r="S461" s="104"/>
      <c r="T461" s="22"/>
      <c r="U461" s="22"/>
      <c r="V461" s="91"/>
      <c r="X461"/>
      <c r="Y461" s="69"/>
      <c r="Z461"/>
      <c r="AA461" s="33"/>
    </row>
    <row r="462" spans="1:27" s="73" customFormat="1" ht="30" hidden="1">
      <c r="A462" s="79">
        <v>402</v>
      </c>
      <c r="B462" s="92" t="s">
        <v>221</v>
      </c>
      <c r="C462" s="92">
        <v>4</v>
      </c>
      <c r="D462" s="92" t="s">
        <v>308</v>
      </c>
      <c r="E462" s="92" t="s">
        <v>26</v>
      </c>
      <c r="F462" s="92">
        <v>58</v>
      </c>
      <c r="G462" s="87" t="s">
        <v>85</v>
      </c>
      <c r="H462" s="93">
        <v>0.1</v>
      </c>
      <c r="I462" s="4">
        <v>1</v>
      </c>
      <c r="J462" s="4"/>
      <c r="K462" s="4"/>
      <c r="L462" s="93">
        <v>0.1</v>
      </c>
      <c r="M462" s="114" t="s">
        <v>115</v>
      </c>
      <c r="N462" s="88" t="s">
        <v>309</v>
      </c>
      <c r="O462" s="89">
        <v>43903</v>
      </c>
      <c r="P462" s="92" t="s">
        <v>65</v>
      </c>
      <c r="Q462" s="78" t="s">
        <v>49</v>
      </c>
      <c r="R462" s="163"/>
      <c r="S462" s="104"/>
      <c r="T462" s="22"/>
      <c r="U462" s="22"/>
      <c r="V462" s="91"/>
      <c r="X462"/>
      <c r="Y462" s="69"/>
      <c r="Z462"/>
      <c r="AA462" s="33"/>
    </row>
    <row r="463" spans="1:27" s="73" customFormat="1" ht="30" hidden="1">
      <c r="A463" s="79">
        <v>403</v>
      </c>
      <c r="B463" s="92" t="s">
        <v>221</v>
      </c>
      <c r="C463" s="92">
        <v>4</v>
      </c>
      <c r="D463" s="92" t="s">
        <v>308</v>
      </c>
      <c r="E463" s="92" t="s">
        <v>197</v>
      </c>
      <c r="F463" s="92">
        <v>58</v>
      </c>
      <c r="G463" s="87" t="s">
        <v>68</v>
      </c>
      <c r="H463" s="93">
        <v>0.1</v>
      </c>
      <c r="I463" s="4">
        <v>1</v>
      </c>
      <c r="J463" s="4"/>
      <c r="K463" s="4"/>
      <c r="L463" s="93">
        <v>0.1</v>
      </c>
      <c r="M463" s="114" t="s">
        <v>115</v>
      </c>
      <c r="N463" s="88" t="s">
        <v>309</v>
      </c>
      <c r="O463" s="89">
        <v>43903</v>
      </c>
      <c r="P463" s="92" t="s">
        <v>65</v>
      </c>
      <c r="Q463" s="78" t="s">
        <v>49</v>
      </c>
      <c r="R463" s="163"/>
      <c r="S463" s="104"/>
      <c r="T463" s="22"/>
      <c r="U463" s="22"/>
      <c r="V463" s="91"/>
      <c r="X463"/>
      <c r="Y463" s="69"/>
      <c r="Z463"/>
      <c r="AA463" s="33"/>
    </row>
    <row r="464" spans="1:27" s="73" customFormat="1" ht="30" hidden="1">
      <c r="A464" s="79">
        <v>404</v>
      </c>
      <c r="B464" s="92" t="s">
        <v>221</v>
      </c>
      <c r="C464" s="92">
        <v>4</v>
      </c>
      <c r="D464" s="92" t="s">
        <v>308</v>
      </c>
      <c r="E464" s="92" t="s">
        <v>26</v>
      </c>
      <c r="F464" s="92">
        <v>74</v>
      </c>
      <c r="G464" s="87" t="s">
        <v>90</v>
      </c>
      <c r="H464" s="93">
        <v>0.8</v>
      </c>
      <c r="I464" s="4">
        <v>7</v>
      </c>
      <c r="J464" s="4"/>
      <c r="K464" s="4"/>
      <c r="L464" s="93">
        <v>0.8</v>
      </c>
      <c r="M464" s="114" t="s">
        <v>115</v>
      </c>
      <c r="N464" s="88" t="s">
        <v>309</v>
      </c>
      <c r="O464" s="89">
        <v>43903</v>
      </c>
      <c r="P464" s="92" t="s">
        <v>65</v>
      </c>
      <c r="Q464" s="78" t="s">
        <v>47</v>
      </c>
      <c r="R464" s="163"/>
      <c r="S464" s="104"/>
      <c r="T464" s="22"/>
      <c r="U464" s="22"/>
      <c r="V464" s="91"/>
      <c r="X464"/>
      <c r="Y464" s="69"/>
      <c r="Z464"/>
      <c r="AA464" s="33"/>
    </row>
    <row r="465" spans="1:27" s="73" customFormat="1" ht="30" hidden="1">
      <c r="A465" s="79">
        <v>405</v>
      </c>
      <c r="B465" s="92" t="s">
        <v>221</v>
      </c>
      <c r="C465" s="92">
        <v>4</v>
      </c>
      <c r="D465" s="92" t="s">
        <v>308</v>
      </c>
      <c r="E465" s="92" t="s">
        <v>26</v>
      </c>
      <c r="F465" s="92">
        <v>87</v>
      </c>
      <c r="G465" s="87" t="s">
        <v>78</v>
      </c>
      <c r="H465" s="93">
        <v>1.1000000000000001</v>
      </c>
      <c r="I465" s="4">
        <v>3</v>
      </c>
      <c r="J465" s="4"/>
      <c r="K465" s="4"/>
      <c r="L465" s="93">
        <v>1.1000000000000001</v>
      </c>
      <c r="M465" s="114" t="s">
        <v>115</v>
      </c>
      <c r="N465" s="88" t="s">
        <v>309</v>
      </c>
      <c r="O465" s="89">
        <v>43903</v>
      </c>
      <c r="P465" s="92" t="s">
        <v>65</v>
      </c>
      <c r="Q465" s="78" t="s">
        <v>47</v>
      </c>
      <c r="R465" s="163"/>
      <c r="S465" s="104"/>
      <c r="T465" s="22"/>
      <c r="U465" s="22"/>
      <c r="V465" s="91"/>
      <c r="X465"/>
      <c r="Y465" s="69"/>
      <c r="Z465"/>
      <c r="AA465" s="33"/>
    </row>
    <row r="466" spans="1:27" s="73" customFormat="1" ht="30" hidden="1">
      <c r="A466" s="79">
        <v>406</v>
      </c>
      <c r="B466" s="92" t="s">
        <v>221</v>
      </c>
      <c r="C466" s="92">
        <v>4</v>
      </c>
      <c r="D466" s="92" t="s">
        <v>308</v>
      </c>
      <c r="E466" s="92" t="s">
        <v>26</v>
      </c>
      <c r="F466" s="92">
        <v>92</v>
      </c>
      <c r="G466" s="87" t="s">
        <v>92</v>
      </c>
      <c r="H466" s="93">
        <v>0.6</v>
      </c>
      <c r="I466" s="4">
        <v>7</v>
      </c>
      <c r="J466" s="4"/>
      <c r="K466" s="4"/>
      <c r="L466" s="93">
        <v>0.6</v>
      </c>
      <c r="M466" s="114" t="s">
        <v>115</v>
      </c>
      <c r="N466" s="88" t="s">
        <v>309</v>
      </c>
      <c r="O466" s="89">
        <v>43903</v>
      </c>
      <c r="P466" s="92" t="s">
        <v>65</v>
      </c>
      <c r="Q466" s="78" t="s">
        <v>47</v>
      </c>
      <c r="R466" s="163"/>
      <c r="S466" s="104"/>
      <c r="T466" s="22"/>
      <c r="U466" s="22"/>
      <c r="V466" s="91"/>
      <c r="X466"/>
      <c r="Y466" s="69"/>
      <c r="Z466"/>
      <c r="AA466" s="33"/>
    </row>
    <row r="467" spans="1:27" s="73" customFormat="1" ht="30" hidden="1">
      <c r="A467" s="79">
        <v>407</v>
      </c>
      <c r="B467" s="92" t="s">
        <v>221</v>
      </c>
      <c r="C467" s="92">
        <v>4</v>
      </c>
      <c r="D467" s="92" t="s">
        <v>308</v>
      </c>
      <c r="E467" s="92" t="s">
        <v>26</v>
      </c>
      <c r="F467" s="92">
        <v>99</v>
      </c>
      <c r="G467" s="87" t="s">
        <v>86</v>
      </c>
      <c r="H467" s="93">
        <v>0.6</v>
      </c>
      <c r="I467" s="4">
        <v>2</v>
      </c>
      <c r="J467" s="4"/>
      <c r="K467" s="4"/>
      <c r="L467" s="93">
        <v>0.6</v>
      </c>
      <c r="M467" s="114" t="s">
        <v>115</v>
      </c>
      <c r="N467" s="88" t="s">
        <v>309</v>
      </c>
      <c r="O467" s="89">
        <v>43903</v>
      </c>
      <c r="P467" s="92" t="s">
        <v>65</v>
      </c>
      <c r="Q467" s="78" t="s">
        <v>47</v>
      </c>
      <c r="R467" s="163"/>
      <c r="S467" s="104"/>
      <c r="T467" s="22"/>
      <c r="U467" s="22"/>
      <c r="V467" s="91"/>
      <c r="X467"/>
      <c r="Y467" s="69"/>
      <c r="Z467"/>
      <c r="AA467" s="33"/>
    </row>
    <row r="468" spans="1:27" s="73" customFormat="1" ht="30" hidden="1">
      <c r="A468" s="79">
        <v>408</v>
      </c>
      <c r="B468" s="92" t="s">
        <v>221</v>
      </c>
      <c r="C468" s="92">
        <v>4</v>
      </c>
      <c r="D468" s="92" t="s">
        <v>308</v>
      </c>
      <c r="E468" s="92" t="s">
        <v>26</v>
      </c>
      <c r="F468" s="92">
        <v>104</v>
      </c>
      <c r="G468" s="87" t="s">
        <v>79</v>
      </c>
      <c r="H468" s="93">
        <v>0.8</v>
      </c>
      <c r="I468" s="4">
        <v>7</v>
      </c>
      <c r="J468" s="4"/>
      <c r="K468" s="4"/>
      <c r="L468" s="93">
        <v>0.8</v>
      </c>
      <c r="M468" s="114" t="s">
        <v>115</v>
      </c>
      <c r="N468" s="88" t="s">
        <v>309</v>
      </c>
      <c r="O468" s="89">
        <v>43903</v>
      </c>
      <c r="P468" s="92" t="s">
        <v>65</v>
      </c>
      <c r="Q468" s="78" t="s">
        <v>47</v>
      </c>
      <c r="R468" s="163"/>
      <c r="S468" s="104"/>
      <c r="T468" s="22"/>
      <c r="U468" s="22"/>
      <c r="V468" s="91"/>
      <c r="X468"/>
      <c r="Y468" s="69"/>
      <c r="Z468"/>
      <c r="AA468" s="33"/>
    </row>
    <row r="469" spans="1:27" s="73" customFormat="1" ht="30" hidden="1">
      <c r="A469" s="79">
        <v>409</v>
      </c>
      <c r="B469" s="92" t="s">
        <v>221</v>
      </c>
      <c r="C469" s="92">
        <v>4</v>
      </c>
      <c r="D469" s="92" t="s">
        <v>308</v>
      </c>
      <c r="E469" s="92" t="s">
        <v>197</v>
      </c>
      <c r="F469" s="92">
        <v>111</v>
      </c>
      <c r="G469" s="87" t="s">
        <v>75</v>
      </c>
      <c r="H469" s="93">
        <v>0.5</v>
      </c>
      <c r="I469" s="4">
        <v>2</v>
      </c>
      <c r="J469" s="4"/>
      <c r="K469" s="4"/>
      <c r="L469" s="93">
        <v>0.5</v>
      </c>
      <c r="M469" s="114" t="s">
        <v>115</v>
      </c>
      <c r="N469" s="88" t="s">
        <v>309</v>
      </c>
      <c r="O469" s="89">
        <v>43903</v>
      </c>
      <c r="P469" s="92" t="s">
        <v>65</v>
      </c>
      <c r="Q469" s="78" t="s">
        <v>47</v>
      </c>
      <c r="R469" s="163"/>
      <c r="S469" s="104"/>
      <c r="T469" s="22"/>
      <c r="U469" s="22"/>
      <c r="V469" s="91"/>
      <c r="X469"/>
      <c r="Y469" s="69"/>
      <c r="Z469"/>
      <c r="AA469" s="33"/>
    </row>
    <row r="470" spans="1:27" s="73" customFormat="1" ht="30" hidden="1">
      <c r="A470" s="79">
        <v>410</v>
      </c>
      <c r="B470" s="92" t="s">
        <v>221</v>
      </c>
      <c r="C470" s="92">
        <v>4</v>
      </c>
      <c r="D470" s="92" t="s">
        <v>308</v>
      </c>
      <c r="E470" s="92" t="s">
        <v>197</v>
      </c>
      <c r="F470" s="92">
        <v>124</v>
      </c>
      <c r="G470" s="87" t="s">
        <v>69</v>
      </c>
      <c r="H470" s="93">
        <v>0.3</v>
      </c>
      <c r="I470" s="4">
        <v>3</v>
      </c>
      <c r="J470" s="4"/>
      <c r="K470" s="4"/>
      <c r="L470" s="93">
        <v>0.3</v>
      </c>
      <c r="M470" s="114" t="s">
        <v>115</v>
      </c>
      <c r="N470" s="88" t="s">
        <v>309</v>
      </c>
      <c r="O470" s="89">
        <v>43903</v>
      </c>
      <c r="P470" s="92" t="s">
        <v>65</v>
      </c>
      <c r="Q470" s="78" t="s">
        <v>47</v>
      </c>
      <c r="R470" s="163"/>
      <c r="S470" s="104"/>
      <c r="T470" s="22"/>
      <c r="U470" s="22"/>
      <c r="V470" s="91"/>
      <c r="X470"/>
      <c r="Y470" s="69"/>
      <c r="Z470"/>
      <c r="AA470" s="33"/>
    </row>
    <row r="471" spans="1:27" s="73" customFormat="1" hidden="1">
      <c r="A471" s="79">
        <v>411</v>
      </c>
      <c r="B471" s="92" t="s">
        <v>225</v>
      </c>
      <c r="C471" s="92">
        <v>4</v>
      </c>
      <c r="D471" s="92" t="s">
        <v>31</v>
      </c>
      <c r="E471" s="92" t="s">
        <v>28</v>
      </c>
      <c r="F471" s="92">
        <v>10</v>
      </c>
      <c r="G471" s="87" t="s">
        <v>85</v>
      </c>
      <c r="H471" s="93">
        <v>2.2999999999999998</v>
      </c>
      <c r="I471" s="4">
        <v>5</v>
      </c>
      <c r="J471" s="4"/>
      <c r="K471" s="4">
        <v>2.2999999999999998</v>
      </c>
      <c r="L471" s="93"/>
      <c r="M471" s="114" t="s">
        <v>115</v>
      </c>
      <c r="N471" s="88" t="s">
        <v>166</v>
      </c>
      <c r="O471" s="89">
        <v>43834</v>
      </c>
      <c r="P471" s="92" t="s">
        <v>65</v>
      </c>
      <c r="Q471" s="78" t="s">
        <v>49</v>
      </c>
      <c r="R471" s="163"/>
      <c r="S471" s="104"/>
      <c r="T471" s="22"/>
      <c r="U471" s="22"/>
      <c r="V471" s="91" t="s">
        <v>41</v>
      </c>
      <c r="X471"/>
      <c r="Y471" s="69"/>
      <c r="Z471"/>
      <c r="AA471" s="33"/>
    </row>
    <row r="472" spans="1:27" s="73" customFormat="1" hidden="1">
      <c r="A472" s="79">
        <v>412</v>
      </c>
      <c r="B472" s="92" t="s">
        <v>225</v>
      </c>
      <c r="C472" s="92">
        <v>4</v>
      </c>
      <c r="D472" s="92" t="s">
        <v>226</v>
      </c>
      <c r="E472" s="92" t="s">
        <v>26</v>
      </c>
      <c r="F472" s="92">
        <v>125</v>
      </c>
      <c r="G472" s="87" t="s">
        <v>88</v>
      </c>
      <c r="H472" s="93">
        <v>1.7</v>
      </c>
      <c r="I472" s="4">
        <v>3</v>
      </c>
      <c r="J472" s="4"/>
      <c r="K472" s="4">
        <v>1.7</v>
      </c>
      <c r="L472" s="93"/>
      <c r="M472" s="114" t="s">
        <v>115</v>
      </c>
      <c r="N472" s="88" t="s">
        <v>166</v>
      </c>
      <c r="O472" s="89">
        <v>43834</v>
      </c>
      <c r="P472" s="92" t="s">
        <v>65</v>
      </c>
      <c r="Q472" s="78" t="s">
        <v>50</v>
      </c>
      <c r="R472" s="163"/>
      <c r="S472" s="104"/>
      <c r="T472" s="22"/>
      <c r="U472" s="22"/>
      <c r="V472" s="91" t="s">
        <v>41</v>
      </c>
      <c r="X472"/>
      <c r="Y472" s="69"/>
      <c r="Z472"/>
      <c r="AA472" s="33"/>
    </row>
    <row r="473" spans="1:27" s="73" customFormat="1" hidden="1">
      <c r="A473" s="79">
        <v>413</v>
      </c>
      <c r="B473" s="92" t="s">
        <v>225</v>
      </c>
      <c r="C473" s="92">
        <v>4</v>
      </c>
      <c r="D473" s="92" t="s">
        <v>31</v>
      </c>
      <c r="E473" s="92" t="s">
        <v>28</v>
      </c>
      <c r="F473" s="92">
        <v>127</v>
      </c>
      <c r="G473" s="87" t="s">
        <v>70</v>
      </c>
      <c r="H473" s="93">
        <v>0.6</v>
      </c>
      <c r="I473" s="4">
        <v>7</v>
      </c>
      <c r="J473" s="4"/>
      <c r="K473" s="4">
        <v>0.6</v>
      </c>
      <c r="L473" s="93"/>
      <c r="M473" s="114" t="s">
        <v>115</v>
      </c>
      <c r="N473" s="88" t="s">
        <v>166</v>
      </c>
      <c r="O473" s="89">
        <v>43834</v>
      </c>
      <c r="P473" s="92" t="s">
        <v>65</v>
      </c>
      <c r="Q473" s="78" t="s">
        <v>50</v>
      </c>
      <c r="R473" s="163"/>
      <c r="S473" s="104"/>
      <c r="T473" s="22"/>
      <c r="U473" s="22"/>
      <c r="V473" s="91" t="s">
        <v>41</v>
      </c>
      <c r="X473"/>
      <c r="Y473" s="69"/>
      <c r="Z473"/>
      <c r="AA473" s="33"/>
    </row>
    <row r="474" spans="1:27" s="69" customFormat="1" hidden="1">
      <c r="A474" s="79">
        <v>414</v>
      </c>
      <c r="B474" s="92" t="s">
        <v>225</v>
      </c>
      <c r="C474" s="92">
        <v>4</v>
      </c>
      <c r="D474" s="92" t="s">
        <v>31</v>
      </c>
      <c r="E474" s="92" t="s">
        <v>26</v>
      </c>
      <c r="F474" s="92">
        <v>19</v>
      </c>
      <c r="G474" s="87" t="s">
        <v>89</v>
      </c>
      <c r="H474" s="93">
        <v>0.7</v>
      </c>
      <c r="I474" s="4">
        <v>6</v>
      </c>
      <c r="J474" s="4"/>
      <c r="K474" s="4">
        <v>0.7</v>
      </c>
      <c r="L474" s="93"/>
      <c r="M474" s="114" t="s">
        <v>115</v>
      </c>
      <c r="N474" s="88" t="s">
        <v>166</v>
      </c>
      <c r="O474" s="89">
        <v>43834</v>
      </c>
      <c r="P474" s="92" t="s">
        <v>65</v>
      </c>
      <c r="Q474" s="78" t="s">
        <v>48</v>
      </c>
      <c r="R474" s="163"/>
      <c r="S474" s="104"/>
      <c r="T474" s="22"/>
      <c r="U474" s="22"/>
      <c r="V474" s="91"/>
      <c r="W474" s="73"/>
      <c r="X474"/>
      <c r="Z474"/>
      <c r="AA474" s="33"/>
    </row>
    <row r="475" spans="1:27" s="69" customFormat="1" hidden="1">
      <c r="A475" s="79">
        <v>415</v>
      </c>
      <c r="B475" s="92" t="s">
        <v>225</v>
      </c>
      <c r="C475" s="92">
        <v>4</v>
      </c>
      <c r="D475" s="92" t="s">
        <v>31</v>
      </c>
      <c r="E475" s="92" t="s">
        <v>26</v>
      </c>
      <c r="F475" s="92">
        <v>21</v>
      </c>
      <c r="G475" s="87" t="s">
        <v>127</v>
      </c>
      <c r="H475" s="93">
        <v>1.6</v>
      </c>
      <c r="I475" s="4">
        <v>15</v>
      </c>
      <c r="J475" s="4"/>
      <c r="K475" s="4">
        <v>1.6</v>
      </c>
      <c r="L475" s="93"/>
      <c r="M475" s="114" t="s">
        <v>115</v>
      </c>
      <c r="N475" s="88" t="s">
        <v>166</v>
      </c>
      <c r="O475" s="89">
        <v>43834</v>
      </c>
      <c r="P475" s="92" t="s">
        <v>65</v>
      </c>
      <c r="Q475" s="78" t="s">
        <v>48</v>
      </c>
      <c r="R475" s="163"/>
      <c r="S475" s="104"/>
      <c r="T475" s="22"/>
      <c r="U475" s="22"/>
      <c r="V475" s="91"/>
      <c r="W475" s="73"/>
      <c r="X475"/>
      <c r="Z475"/>
      <c r="AA475" s="33"/>
    </row>
    <row r="476" spans="1:27" s="69" customFormat="1" hidden="1">
      <c r="A476" s="79">
        <v>416</v>
      </c>
      <c r="B476" s="92" t="s">
        <v>225</v>
      </c>
      <c r="C476" s="92">
        <v>4</v>
      </c>
      <c r="D476" s="92" t="s">
        <v>31</v>
      </c>
      <c r="E476" s="92" t="s">
        <v>26</v>
      </c>
      <c r="F476" s="92">
        <v>37</v>
      </c>
      <c r="G476" s="87" t="s">
        <v>80</v>
      </c>
      <c r="H476" s="93">
        <v>0.8</v>
      </c>
      <c r="I476" s="4">
        <v>16</v>
      </c>
      <c r="J476" s="4"/>
      <c r="K476" s="4">
        <v>0.8</v>
      </c>
      <c r="L476" s="93"/>
      <c r="M476" s="114" t="s">
        <v>115</v>
      </c>
      <c r="N476" s="88" t="s">
        <v>166</v>
      </c>
      <c r="O476" s="89">
        <v>43834</v>
      </c>
      <c r="P476" s="92" t="s">
        <v>65</v>
      </c>
      <c r="Q476" s="78" t="s">
        <v>49</v>
      </c>
      <c r="R476" s="163"/>
      <c r="S476" s="104"/>
      <c r="T476" s="22"/>
      <c r="U476" s="22"/>
      <c r="V476" s="91"/>
      <c r="W476" s="73"/>
      <c r="X476"/>
      <c r="Z476"/>
      <c r="AA476" s="33"/>
    </row>
    <row r="477" spans="1:27" s="69" customFormat="1" hidden="1">
      <c r="A477" s="79">
        <v>417</v>
      </c>
      <c r="B477" s="92" t="s">
        <v>225</v>
      </c>
      <c r="C477" s="92">
        <v>4</v>
      </c>
      <c r="D477" s="92" t="s">
        <v>31</v>
      </c>
      <c r="E477" s="92" t="s">
        <v>26</v>
      </c>
      <c r="F477" s="92">
        <v>40</v>
      </c>
      <c r="G477" s="87" t="s">
        <v>90</v>
      </c>
      <c r="H477" s="93">
        <v>0.9</v>
      </c>
      <c r="I477" s="4">
        <v>4</v>
      </c>
      <c r="J477" s="4"/>
      <c r="K477" s="4">
        <v>0.9</v>
      </c>
      <c r="L477" s="93"/>
      <c r="M477" s="114" t="s">
        <v>115</v>
      </c>
      <c r="N477" s="88" t="s">
        <v>166</v>
      </c>
      <c r="O477" s="89">
        <v>43834</v>
      </c>
      <c r="P477" s="92" t="s">
        <v>65</v>
      </c>
      <c r="Q477" s="78" t="s">
        <v>49</v>
      </c>
      <c r="R477" s="163"/>
      <c r="S477" s="104"/>
      <c r="T477" s="22"/>
      <c r="U477" s="22"/>
      <c r="V477" s="91" t="s">
        <v>39</v>
      </c>
      <c r="W477" s="73"/>
      <c r="X477" s="75"/>
      <c r="Z477"/>
      <c r="AA477" s="33"/>
    </row>
    <row r="478" spans="1:27" s="69" customFormat="1" hidden="1">
      <c r="A478" s="79">
        <v>418</v>
      </c>
      <c r="B478" s="92" t="s">
        <v>225</v>
      </c>
      <c r="C478" s="92">
        <v>4</v>
      </c>
      <c r="D478" s="92" t="s">
        <v>31</v>
      </c>
      <c r="E478" s="92" t="s">
        <v>26</v>
      </c>
      <c r="F478" s="92">
        <v>40</v>
      </c>
      <c r="G478" s="87" t="s">
        <v>162</v>
      </c>
      <c r="H478" s="93">
        <v>1.9</v>
      </c>
      <c r="I478" s="4">
        <v>20</v>
      </c>
      <c r="J478" s="4"/>
      <c r="K478" s="103">
        <v>1.9</v>
      </c>
      <c r="L478" s="93"/>
      <c r="M478" s="114" t="s">
        <v>115</v>
      </c>
      <c r="N478" s="88" t="s">
        <v>166</v>
      </c>
      <c r="O478" s="89">
        <v>43834</v>
      </c>
      <c r="P478" s="92" t="s">
        <v>65</v>
      </c>
      <c r="Q478" s="78" t="s">
        <v>49</v>
      </c>
      <c r="R478" s="163"/>
      <c r="S478" s="104"/>
      <c r="T478" s="22"/>
      <c r="U478" s="22"/>
      <c r="V478" s="91"/>
      <c r="W478" s="73"/>
      <c r="X478" s="75"/>
      <c r="Z478"/>
      <c r="AA478" s="33"/>
    </row>
    <row r="479" spans="1:27" s="69" customFormat="1" hidden="1">
      <c r="A479" s="79">
        <v>419</v>
      </c>
      <c r="B479" s="92" t="s">
        <v>225</v>
      </c>
      <c r="C479" s="92">
        <v>4</v>
      </c>
      <c r="D479" s="92" t="s">
        <v>31</v>
      </c>
      <c r="E479" s="92" t="s">
        <v>26</v>
      </c>
      <c r="F479" s="92">
        <v>8</v>
      </c>
      <c r="G479" s="87" t="s">
        <v>88</v>
      </c>
      <c r="H479" s="93">
        <v>4</v>
      </c>
      <c r="I479" s="4">
        <v>62</v>
      </c>
      <c r="J479" s="4"/>
      <c r="K479" s="103">
        <v>4</v>
      </c>
      <c r="L479" s="93"/>
      <c r="M479" s="114" t="s">
        <v>115</v>
      </c>
      <c r="N479" s="88" t="s">
        <v>166</v>
      </c>
      <c r="O479" s="89">
        <v>43834</v>
      </c>
      <c r="P479" s="92" t="s">
        <v>65</v>
      </c>
      <c r="Q479" s="78" t="s">
        <v>49</v>
      </c>
      <c r="R479" s="163"/>
      <c r="S479" s="104"/>
      <c r="T479" s="22"/>
      <c r="U479" s="22"/>
      <c r="V479" s="91"/>
      <c r="W479" s="73"/>
      <c r="X479" s="75"/>
      <c r="Z479"/>
      <c r="AA479" s="33"/>
    </row>
    <row r="480" spans="1:27" s="69" customFormat="1" hidden="1">
      <c r="A480" s="79">
        <v>420</v>
      </c>
      <c r="B480" s="92" t="s">
        <v>225</v>
      </c>
      <c r="C480" s="92">
        <v>4</v>
      </c>
      <c r="D480" s="92" t="s">
        <v>31</v>
      </c>
      <c r="E480" s="92" t="s">
        <v>26</v>
      </c>
      <c r="F480" s="92">
        <v>9</v>
      </c>
      <c r="G480" s="87" t="s">
        <v>76</v>
      </c>
      <c r="H480" s="93">
        <v>0.7</v>
      </c>
      <c r="I480" s="4">
        <v>8</v>
      </c>
      <c r="J480" s="4"/>
      <c r="K480" s="103">
        <v>0.7</v>
      </c>
      <c r="L480" s="93"/>
      <c r="M480" s="114" t="s">
        <v>115</v>
      </c>
      <c r="N480" s="88" t="s">
        <v>166</v>
      </c>
      <c r="O480" s="89">
        <v>43834</v>
      </c>
      <c r="P480" s="92" t="s">
        <v>65</v>
      </c>
      <c r="Q480" s="78" t="s">
        <v>49</v>
      </c>
      <c r="R480" s="163"/>
      <c r="S480" s="104"/>
      <c r="T480" s="22"/>
      <c r="U480" s="22"/>
      <c r="V480" s="91"/>
      <c r="W480" s="73"/>
      <c r="X480" s="75"/>
      <c r="Z480"/>
      <c r="AA480" s="33"/>
    </row>
    <row r="481" spans="1:27" s="69" customFormat="1" hidden="1">
      <c r="A481" s="79">
        <v>421</v>
      </c>
      <c r="B481" s="92" t="s">
        <v>225</v>
      </c>
      <c r="C481" s="92">
        <v>4</v>
      </c>
      <c r="D481" s="92" t="s">
        <v>31</v>
      </c>
      <c r="E481" s="92" t="s">
        <v>28</v>
      </c>
      <c r="F481" s="92">
        <v>122</v>
      </c>
      <c r="G481" s="87" t="s">
        <v>80</v>
      </c>
      <c r="H481" s="93">
        <v>0.8</v>
      </c>
      <c r="I481" s="4">
        <v>4</v>
      </c>
      <c r="J481" s="4"/>
      <c r="K481" s="103">
        <v>0.8</v>
      </c>
      <c r="L481" s="93"/>
      <c r="M481" s="114" t="s">
        <v>115</v>
      </c>
      <c r="N481" s="88" t="s">
        <v>166</v>
      </c>
      <c r="O481" s="89">
        <v>43834</v>
      </c>
      <c r="P481" s="92" t="s">
        <v>65</v>
      </c>
      <c r="Q481" s="78" t="s">
        <v>50</v>
      </c>
      <c r="R481" s="163"/>
      <c r="S481" s="104"/>
      <c r="T481" s="22"/>
      <c r="U481" s="22"/>
      <c r="V481" s="91"/>
      <c r="W481" s="73"/>
      <c r="X481" s="75"/>
      <c r="Z481"/>
      <c r="AA481" s="33"/>
    </row>
    <row r="482" spans="1:27" s="69" customFormat="1" hidden="1">
      <c r="A482" s="79">
        <v>422</v>
      </c>
      <c r="B482" s="92" t="s">
        <v>225</v>
      </c>
      <c r="C482" s="92">
        <v>4</v>
      </c>
      <c r="D482" s="92" t="s">
        <v>23</v>
      </c>
      <c r="E482" s="92" t="s">
        <v>26</v>
      </c>
      <c r="F482" s="92">
        <v>37</v>
      </c>
      <c r="G482" s="87" t="s">
        <v>69</v>
      </c>
      <c r="H482" s="93">
        <v>3.5</v>
      </c>
      <c r="I482" s="4">
        <v>68</v>
      </c>
      <c r="J482" s="4"/>
      <c r="K482" s="103">
        <v>3.5</v>
      </c>
      <c r="L482" s="93"/>
      <c r="M482" s="114" t="s">
        <v>115</v>
      </c>
      <c r="N482" s="88" t="s">
        <v>227</v>
      </c>
      <c r="O482" s="89">
        <v>43834</v>
      </c>
      <c r="P482" s="92" t="s">
        <v>65</v>
      </c>
      <c r="Q482" s="78" t="s">
        <v>48</v>
      </c>
      <c r="R482" s="163"/>
      <c r="S482" s="104"/>
      <c r="T482" s="22"/>
      <c r="U482" s="22"/>
      <c r="V482" s="91"/>
      <c r="W482" s="73"/>
      <c r="X482" s="75"/>
      <c r="Z482"/>
      <c r="AA482" s="33"/>
    </row>
    <row r="483" spans="1:27" s="69" customFormat="1" hidden="1">
      <c r="A483" s="79">
        <v>423</v>
      </c>
      <c r="B483" s="92" t="s">
        <v>225</v>
      </c>
      <c r="C483" s="92">
        <v>4</v>
      </c>
      <c r="D483" s="92" t="s">
        <v>23</v>
      </c>
      <c r="E483" s="92" t="s">
        <v>26</v>
      </c>
      <c r="F483" s="92">
        <v>5</v>
      </c>
      <c r="G483" s="87" t="s">
        <v>84</v>
      </c>
      <c r="H483" s="93">
        <v>2.2000000000000002</v>
      </c>
      <c r="I483" s="4">
        <v>34</v>
      </c>
      <c r="J483" s="4"/>
      <c r="K483" s="103">
        <v>2.2000000000000002</v>
      </c>
      <c r="L483" s="93"/>
      <c r="M483" s="114" t="s">
        <v>115</v>
      </c>
      <c r="N483" s="88" t="s">
        <v>227</v>
      </c>
      <c r="O483" s="89">
        <v>43834</v>
      </c>
      <c r="P483" s="92" t="s">
        <v>65</v>
      </c>
      <c r="Q483" s="78" t="s">
        <v>48</v>
      </c>
      <c r="R483" s="163"/>
      <c r="S483" s="104"/>
      <c r="T483" s="22"/>
      <c r="U483" s="22"/>
      <c r="V483" s="91"/>
      <c r="W483" s="73"/>
      <c r="X483" s="75"/>
      <c r="Z483"/>
      <c r="AA483" s="33"/>
    </row>
    <row r="484" spans="1:27" s="69" customFormat="1" hidden="1">
      <c r="A484" s="79">
        <v>424</v>
      </c>
      <c r="B484" s="92" t="s">
        <v>225</v>
      </c>
      <c r="C484" s="92">
        <v>4</v>
      </c>
      <c r="D484" s="92" t="s">
        <v>23</v>
      </c>
      <c r="E484" s="92" t="s">
        <v>26</v>
      </c>
      <c r="F484" s="92">
        <v>8</v>
      </c>
      <c r="G484" s="87" t="s">
        <v>92</v>
      </c>
      <c r="H484" s="93">
        <v>1.1000000000000001</v>
      </c>
      <c r="I484" s="4">
        <v>41</v>
      </c>
      <c r="J484" s="4"/>
      <c r="K484" s="103">
        <v>1.1000000000000001</v>
      </c>
      <c r="L484" s="93"/>
      <c r="M484" s="114" t="s">
        <v>115</v>
      </c>
      <c r="N484" s="88" t="s">
        <v>227</v>
      </c>
      <c r="O484" s="89">
        <v>43834</v>
      </c>
      <c r="P484" s="92" t="s">
        <v>65</v>
      </c>
      <c r="Q484" s="78" t="s">
        <v>49</v>
      </c>
      <c r="R484" s="163"/>
      <c r="S484" s="104"/>
      <c r="T484" s="22"/>
      <c r="U484" s="22"/>
      <c r="V484" s="91"/>
      <c r="W484" s="73"/>
      <c r="X484" s="75"/>
      <c r="Z484"/>
      <c r="AA484" s="33"/>
    </row>
    <row r="485" spans="1:27" s="69" customFormat="1" hidden="1">
      <c r="A485" s="79">
        <v>425</v>
      </c>
      <c r="B485" s="92" t="s">
        <v>225</v>
      </c>
      <c r="C485" s="92">
        <v>4</v>
      </c>
      <c r="D485" s="92" t="s">
        <v>23</v>
      </c>
      <c r="E485" s="92" t="s">
        <v>28</v>
      </c>
      <c r="F485" s="92">
        <v>40</v>
      </c>
      <c r="G485" s="87" t="s">
        <v>86</v>
      </c>
      <c r="H485" s="93">
        <v>0.8</v>
      </c>
      <c r="I485" s="4">
        <v>43</v>
      </c>
      <c r="J485" s="4">
        <v>16</v>
      </c>
      <c r="K485" s="103">
        <v>0.8</v>
      </c>
      <c r="L485" s="93"/>
      <c r="M485" s="114" t="s">
        <v>115</v>
      </c>
      <c r="N485" s="88" t="s">
        <v>227</v>
      </c>
      <c r="O485" s="89">
        <v>43834</v>
      </c>
      <c r="P485" s="92" t="s">
        <v>65</v>
      </c>
      <c r="Q485" s="78" t="s">
        <v>49</v>
      </c>
      <c r="R485" s="163"/>
      <c r="S485" s="104"/>
      <c r="T485" s="22"/>
      <c r="U485" s="22"/>
      <c r="V485" s="91"/>
      <c r="W485" s="73"/>
      <c r="X485" s="75"/>
      <c r="Z485"/>
      <c r="AA485" s="33"/>
    </row>
    <row r="486" spans="1:27" s="69" customFormat="1" hidden="1">
      <c r="A486" s="79">
        <v>426</v>
      </c>
      <c r="B486" s="92" t="s">
        <v>225</v>
      </c>
      <c r="C486" s="92">
        <v>4</v>
      </c>
      <c r="D486" s="92" t="s">
        <v>23</v>
      </c>
      <c r="E486" s="92" t="s">
        <v>26</v>
      </c>
      <c r="F486" s="92">
        <v>40</v>
      </c>
      <c r="G486" s="87" t="s">
        <v>92</v>
      </c>
      <c r="H486" s="93">
        <v>2.2999999999999998</v>
      </c>
      <c r="I486" s="4">
        <v>17</v>
      </c>
      <c r="J486" s="4"/>
      <c r="K486" s="103">
        <v>2.2999999999999998</v>
      </c>
      <c r="L486" s="93"/>
      <c r="M486" s="114" t="s">
        <v>115</v>
      </c>
      <c r="N486" s="88" t="s">
        <v>227</v>
      </c>
      <c r="O486" s="89">
        <v>43834</v>
      </c>
      <c r="P486" s="92" t="s">
        <v>65</v>
      </c>
      <c r="Q486" s="78" t="s">
        <v>49</v>
      </c>
      <c r="R486" s="163"/>
      <c r="S486" s="104"/>
      <c r="T486" s="22"/>
      <c r="U486" s="22"/>
      <c r="V486" s="91"/>
      <c r="W486" s="73"/>
      <c r="X486" s="75"/>
      <c r="Z486"/>
      <c r="AA486" s="33"/>
    </row>
    <row r="487" spans="1:27" s="69" customFormat="1" hidden="1">
      <c r="A487" s="79">
        <v>427</v>
      </c>
      <c r="B487" s="92" t="s">
        <v>225</v>
      </c>
      <c r="C487" s="92">
        <v>4</v>
      </c>
      <c r="D487" s="92" t="s">
        <v>22</v>
      </c>
      <c r="E487" s="92" t="s">
        <v>26</v>
      </c>
      <c r="F487" s="92">
        <v>9</v>
      </c>
      <c r="G487" s="87" t="s">
        <v>95</v>
      </c>
      <c r="H487" s="93">
        <v>1.5</v>
      </c>
      <c r="I487" s="4">
        <v>59</v>
      </c>
      <c r="J487" s="4">
        <f>52+1</f>
        <v>53</v>
      </c>
      <c r="K487" s="103">
        <v>1.5</v>
      </c>
      <c r="L487" s="93"/>
      <c r="M487" s="114" t="s">
        <v>115</v>
      </c>
      <c r="N487" s="88" t="s">
        <v>228</v>
      </c>
      <c r="O487" s="89">
        <v>43841</v>
      </c>
      <c r="P487" s="92" t="s">
        <v>65</v>
      </c>
      <c r="Q487" s="78" t="s">
        <v>49</v>
      </c>
      <c r="R487" s="163">
        <v>249</v>
      </c>
      <c r="S487" s="104"/>
      <c r="T487" s="22"/>
      <c r="U487" s="22"/>
      <c r="V487" s="91"/>
      <c r="W487" s="73"/>
      <c r="X487" s="75"/>
      <c r="Z487"/>
      <c r="AA487" s="33"/>
    </row>
    <row r="488" spans="1:27" s="69" customFormat="1" ht="30" hidden="1">
      <c r="A488" s="79">
        <v>428</v>
      </c>
      <c r="B488" s="92" t="s">
        <v>225</v>
      </c>
      <c r="C488" s="92">
        <v>4</v>
      </c>
      <c r="D488" s="92" t="s">
        <v>32</v>
      </c>
      <c r="E488" s="92" t="s">
        <v>26</v>
      </c>
      <c r="F488" s="92">
        <v>4</v>
      </c>
      <c r="G488" s="87" t="s">
        <v>79</v>
      </c>
      <c r="H488" s="93">
        <v>2.2000000000000002</v>
      </c>
      <c r="I488" s="4">
        <v>69</v>
      </c>
      <c r="J488" s="4">
        <f>47+1</f>
        <v>48</v>
      </c>
      <c r="K488" s="103">
        <v>2.2000000000000002</v>
      </c>
      <c r="L488" s="93"/>
      <c r="M488" s="114" t="s">
        <v>115</v>
      </c>
      <c r="N488" s="88" t="s">
        <v>229</v>
      </c>
      <c r="O488" s="89">
        <v>43834</v>
      </c>
      <c r="P488" s="92" t="s">
        <v>65</v>
      </c>
      <c r="Q488" s="78" t="s">
        <v>48</v>
      </c>
      <c r="R488" s="163">
        <v>157</v>
      </c>
      <c r="S488" s="104"/>
      <c r="T488" s="22"/>
      <c r="U488" s="22"/>
      <c r="V488" s="91"/>
      <c r="W488" s="73"/>
      <c r="X488" s="75"/>
      <c r="Z488"/>
      <c r="AA488" s="33"/>
    </row>
    <row r="489" spans="1:27" s="69" customFormat="1" ht="30" hidden="1">
      <c r="A489" s="79">
        <v>429</v>
      </c>
      <c r="B489" s="92" t="s">
        <v>225</v>
      </c>
      <c r="C489" s="92">
        <v>4</v>
      </c>
      <c r="D489" s="92" t="s">
        <v>32</v>
      </c>
      <c r="E489" s="92" t="s">
        <v>197</v>
      </c>
      <c r="F489" s="92">
        <v>9</v>
      </c>
      <c r="G489" s="87" t="s">
        <v>69</v>
      </c>
      <c r="H489" s="93">
        <v>7</v>
      </c>
      <c r="I489" s="4">
        <v>136</v>
      </c>
      <c r="J489" s="4">
        <f>112+2</f>
        <v>114</v>
      </c>
      <c r="K489" s="103">
        <v>7</v>
      </c>
      <c r="L489" s="93"/>
      <c r="M489" s="114" t="s">
        <v>115</v>
      </c>
      <c r="N489" s="88" t="s">
        <v>229</v>
      </c>
      <c r="O489" s="89">
        <v>43834</v>
      </c>
      <c r="P489" s="92" t="s">
        <v>65</v>
      </c>
      <c r="Q489" s="78" t="s">
        <v>49</v>
      </c>
      <c r="R489" s="163">
        <v>432</v>
      </c>
      <c r="S489" s="104"/>
      <c r="T489" s="22"/>
      <c r="U489" s="22"/>
      <c r="V489" s="91"/>
      <c r="W489" s="73"/>
      <c r="X489" s="75"/>
      <c r="Z489"/>
      <c r="AA489" s="33"/>
    </row>
    <row r="490" spans="1:27" s="69" customFormat="1" ht="30" hidden="1">
      <c r="A490" s="79">
        <v>430</v>
      </c>
      <c r="B490" s="92" t="s">
        <v>225</v>
      </c>
      <c r="C490" s="92">
        <v>4</v>
      </c>
      <c r="D490" s="92" t="s">
        <v>32</v>
      </c>
      <c r="E490" s="92" t="s">
        <v>26</v>
      </c>
      <c r="F490" s="92">
        <v>34</v>
      </c>
      <c r="G490" s="87" t="s">
        <v>71</v>
      </c>
      <c r="H490" s="93">
        <v>1.2</v>
      </c>
      <c r="I490" s="4">
        <v>64</v>
      </c>
      <c r="J490" s="4">
        <v>55</v>
      </c>
      <c r="K490" s="103">
        <v>1.2</v>
      </c>
      <c r="L490" s="93"/>
      <c r="M490" s="114" t="s">
        <v>115</v>
      </c>
      <c r="N490" s="88" t="s">
        <v>229</v>
      </c>
      <c r="O490" s="89">
        <v>43834</v>
      </c>
      <c r="P490" s="92" t="s">
        <v>65</v>
      </c>
      <c r="Q490" s="78" t="s">
        <v>48</v>
      </c>
      <c r="R490" s="163">
        <v>210</v>
      </c>
      <c r="S490" s="104"/>
      <c r="T490" s="22"/>
      <c r="U490" s="22"/>
      <c r="V490" s="91"/>
      <c r="W490" s="73"/>
      <c r="X490" s="75"/>
      <c r="Z490"/>
      <c r="AA490" s="33"/>
    </row>
    <row r="491" spans="1:27" s="69" customFormat="1" ht="30" hidden="1">
      <c r="A491" s="79">
        <v>431</v>
      </c>
      <c r="B491" s="92" t="s">
        <v>225</v>
      </c>
      <c r="C491" s="92">
        <v>4</v>
      </c>
      <c r="D491" s="92" t="s">
        <v>32</v>
      </c>
      <c r="E491" s="92" t="s">
        <v>26</v>
      </c>
      <c r="F491" s="92">
        <v>34</v>
      </c>
      <c r="G491" s="87" t="s">
        <v>68</v>
      </c>
      <c r="H491" s="93">
        <v>6.4</v>
      </c>
      <c r="I491" s="4">
        <v>58</v>
      </c>
      <c r="J491" s="4">
        <v>41</v>
      </c>
      <c r="K491" s="93">
        <v>6.4</v>
      </c>
      <c r="L491" s="4"/>
      <c r="M491" s="114" t="s">
        <v>115</v>
      </c>
      <c r="N491" s="88" t="s">
        <v>229</v>
      </c>
      <c r="O491" s="89">
        <v>43834</v>
      </c>
      <c r="P491" s="92" t="s">
        <v>65</v>
      </c>
      <c r="Q491" s="78" t="s">
        <v>48</v>
      </c>
      <c r="R491" s="163">
        <v>139</v>
      </c>
      <c r="S491" s="104"/>
      <c r="T491" s="22"/>
      <c r="U491" s="22"/>
      <c r="V491" s="91" t="s">
        <v>42</v>
      </c>
      <c r="W491" s="73"/>
      <c r="X491"/>
      <c r="Z491"/>
      <c r="AA491" s="33"/>
    </row>
    <row r="492" spans="1:27" s="69" customFormat="1" ht="30" hidden="1">
      <c r="A492" s="79">
        <v>432</v>
      </c>
      <c r="B492" s="92" t="s">
        <v>225</v>
      </c>
      <c r="C492" s="92">
        <v>4</v>
      </c>
      <c r="D492" s="92" t="s">
        <v>32</v>
      </c>
      <c r="E492" s="92" t="s">
        <v>28</v>
      </c>
      <c r="F492" s="92">
        <v>34</v>
      </c>
      <c r="G492" s="87" t="s">
        <v>80</v>
      </c>
      <c r="H492" s="93">
        <v>0.7</v>
      </c>
      <c r="I492" s="4">
        <v>70</v>
      </c>
      <c r="J492" s="4">
        <v>58</v>
      </c>
      <c r="K492" s="93">
        <v>0.7</v>
      </c>
      <c r="L492" s="4"/>
      <c r="M492" s="114" t="s">
        <v>115</v>
      </c>
      <c r="N492" s="88" t="s">
        <v>229</v>
      </c>
      <c r="O492" s="89">
        <v>43834</v>
      </c>
      <c r="P492" s="92" t="s">
        <v>65</v>
      </c>
      <c r="Q492" s="78" t="s">
        <v>48</v>
      </c>
      <c r="R492" s="163">
        <v>316</v>
      </c>
      <c r="S492" s="104"/>
      <c r="T492" s="22"/>
      <c r="U492" s="22"/>
      <c r="V492" s="91" t="s">
        <v>42</v>
      </c>
      <c r="W492" s="73"/>
      <c r="X492"/>
      <c r="Z492"/>
      <c r="AA492" s="33"/>
    </row>
    <row r="493" spans="1:27" s="69" customFormat="1" ht="30" hidden="1">
      <c r="A493" s="79">
        <v>433</v>
      </c>
      <c r="B493" s="92" t="s">
        <v>225</v>
      </c>
      <c r="C493" s="92">
        <v>4</v>
      </c>
      <c r="D493" s="92" t="s">
        <v>32</v>
      </c>
      <c r="E493" s="92" t="s">
        <v>26</v>
      </c>
      <c r="F493" s="92">
        <v>38</v>
      </c>
      <c r="G493" s="87" t="s">
        <v>79</v>
      </c>
      <c r="H493" s="93">
        <v>1.3</v>
      </c>
      <c r="I493" s="4">
        <v>25</v>
      </c>
      <c r="J493" s="4">
        <v>12</v>
      </c>
      <c r="K493" s="93">
        <v>1.3</v>
      </c>
      <c r="L493" s="4"/>
      <c r="M493" s="114" t="s">
        <v>115</v>
      </c>
      <c r="N493" s="88" t="s">
        <v>229</v>
      </c>
      <c r="O493" s="89">
        <v>43834</v>
      </c>
      <c r="P493" s="92" t="s">
        <v>65</v>
      </c>
      <c r="Q493" s="78" t="s">
        <v>49</v>
      </c>
      <c r="R493" s="163">
        <v>42</v>
      </c>
      <c r="S493" s="104"/>
      <c r="T493" s="22"/>
      <c r="U493" s="22"/>
      <c r="V493" s="91" t="s">
        <v>42</v>
      </c>
      <c r="W493" s="73"/>
      <c r="X493"/>
      <c r="Z493"/>
      <c r="AA493" s="33"/>
    </row>
    <row r="494" spans="1:27" s="69" customFormat="1" ht="30" hidden="1">
      <c r="A494" s="79">
        <v>434</v>
      </c>
      <c r="B494" s="92" t="s">
        <v>225</v>
      </c>
      <c r="C494" s="92">
        <v>3</v>
      </c>
      <c r="D494" s="92" t="s">
        <v>32</v>
      </c>
      <c r="E494" s="92" t="s">
        <v>26</v>
      </c>
      <c r="F494" s="92">
        <v>105</v>
      </c>
      <c r="G494" s="87" t="s">
        <v>79</v>
      </c>
      <c r="H494" s="93">
        <v>2.6</v>
      </c>
      <c r="I494" s="4">
        <v>121</v>
      </c>
      <c r="J494" s="4">
        <f>85+4</f>
        <v>89</v>
      </c>
      <c r="K494" s="93">
        <v>2.6</v>
      </c>
      <c r="L494" s="4"/>
      <c r="M494" s="114" t="s">
        <v>115</v>
      </c>
      <c r="N494" s="88" t="s">
        <v>229</v>
      </c>
      <c r="O494" s="89">
        <v>43834</v>
      </c>
      <c r="P494" s="92" t="s">
        <v>65</v>
      </c>
      <c r="Q494" s="78" t="s">
        <v>47</v>
      </c>
      <c r="R494" s="163">
        <v>297</v>
      </c>
      <c r="S494" s="104"/>
      <c r="T494" s="22"/>
      <c r="U494" s="22"/>
      <c r="V494" s="91" t="s">
        <v>42</v>
      </c>
      <c r="W494" s="73"/>
      <c r="X494"/>
      <c r="Z494"/>
      <c r="AA494" s="33"/>
    </row>
    <row r="495" spans="1:27" s="69" customFormat="1" ht="30" hidden="1">
      <c r="A495" s="79">
        <v>435</v>
      </c>
      <c r="B495" s="92" t="s">
        <v>225</v>
      </c>
      <c r="C495" s="92">
        <v>3</v>
      </c>
      <c r="D495" s="92" t="s">
        <v>32</v>
      </c>
      <c r="E495" s="92" t="s">
        <v>26</v>
      </c>
      <c r="F495" s="92">
        <v>105</v>
      </c>
      <c r="G495" s="87" t="s">
        <v>77</v>
      </c>
      <c r="H495" s="93">
        <v>0.4</v>
      </c>
      <c r="I495" s="4">
        <v>55</v>
      </c>
      <c r="J495" s="4">
        <v>45</v>
      </c>
      <c r="K495" s="93">
        <v>0.4</v>
      </c>
      <c r="L495" s="4"/>
      <c r="M495" s="114" t="s">
        <v>115</v>
      </c>
      <c r="N495" s="88" t="s">
        <v>229</v>
      </c>
      <c r="O495" s="89">
        <v>43834</v>
      </c>
      <c r="P495" s="92" t="s">
        <v>65</v>
      </c>
      <c r="Q495" s="78" t="s">
        <v>47</v>
      </c>
      <c r="R495" s="163">
        <v>203</v>
      </c>
      <c r="S495" s="104"/>
      <c r="T495" s="22"/>
      <c r="U495" s="22"/>
      <c r="V495" s="91" t="s">
        <v>42</v>
      </c>
      <c r="W495" s="73"/>
      <c r="X495"/>
      <c r="Z495"/>
      <c r="AA495" s="33"/>
    </row>
    <row r="496" spans="1:27" s="69" customFormat="1" ht="30" hidden="1">
      <c r="A496" s="79">
        <v>436</v>
      </c>
      <c r="B496" s="92" t="s">
        <v>225</v>
      </c>
      <c r="C496" s="92">
        <v>3</v>
      </c>
      <c r="D496" s="92" t="s">
        <v>32</v>
      </c>
      <c r="E496" s="92" t="s">
        <v>129</v>
      </c>
      <c r="F496" s="92">
        <v>105</v>
      </c>
      <c r="G496" s="87" t="s">
        <v>86</v>
      </c>
      <c r="H496" s="93">
        <v>0.9</v>
      </c>
      <c r="I496" s="4">
        <v>30</v>
      </c>
      <c r="J496" s="4">
        <v>21</v>
      </c>
      <c r="K496" s="93">
        <v>0.9</v>
      </c>
      <c r="L496" s="4"/>
      <c r="M496" s="114" t="s">
        <v>115</v>
      </c>
      <c r="N496" s="88" t="s">
        <v>229</v>
      </c>
      <c r="O496" s="89">
        <v>43834</v>
      </c>
      <c r="P496" s="92" t="s">
        <v>65</v>
      </c>
      <c r="Q496" s="78" t="s">
        <v>47</v>
      </c>
      <c r="R496" s="163">
        <v>156</v>
      </c>
      <c r="S496" s="104"/>
      <c r="T496" s="22"/>
      <c r="U496" s="22"/>
      <c r="V496" s="91" t="s">
        <v>42</v>
      </c>
      <c r="W496" s="73"/>
      <c r="X496"/>
      <c r="Z496"/>
      <c r="AA496" s="33"/>
    </row>
    <row r="497" spans="1:27" s="69" customFormat="1" ht="30" hidden="1">
      <c r="A497" s="79">
        <v>437</v>
      </c>
      <c r="B497" s="92" t="s">
        <v>225</v>
      </c>
      <c r="C497" s="92">
        <v>3</v>
      </c>
      <c r="D497" s="92" t="s">
        <v>32</v>
      </c>
      <c r="E497" s="92" t="s">
        <v>26</v>
      </c>
      <c r="F497" s="92">
        <v>105</v>
      </c>
      <c r="G497" s="87" t="s">
        <v>92</v>
      </c>
      <c r="H497" s="93">
        <v>0.6</v>
      </c>
      <c r="I497" s="4">
        <v>48</v>
      </c>
      <c r="J497" s="4">
        <f>32+1</f>
        <v>33</v>
      </c>
      <c r="K497" s="93">
        <v>0.6</v>
      </c>
      <c r="L497" s="4"/>
      <c r="M497" s="114" t="s">
        <v>115</v>
      </c>
      <c r="N497" s="88" t="s">
        <v>229</v>
      </c>
      <c r="O497" s="89">
        <v>43834</v>
      </c>
      <c r="P497" s="92" t="s">
        <v>65</v>
      </c>
      <c r="Q497" s="78" t="s">
        <v>47</v>
      </c>
      <c r="R497" s="163">
        <v>105</v>
      </c>
      <c r="S497" s="104"/>
      <c r="T497" s="22"/>
      <c r="U497" s="22"/>
      <c r="V497" s="91" t="s">
        <v>42</v>
      </c>
      <c r="W497" s="73"/>
      <c r="X497"/>
      <c r="Z497"/>
      <c r="AA497" s="33"/>
    </row>
    <row r="498" spans="1:27" s="69" customFormat="1" ht="30" hidden="1">
      <c r="A498" s="79">
        <v>438</v>
      </c>
      <c r="B498" s="92" t="s">
        <v>225</v>
      </c>
      <c r="C498" s="92">
        <v>3</v>
      </c>
      <c r="D498" s="92" t="s">
        <v>32</v>
      </c>
      <c r="E498" s="92" t="s">
        <v>26</v>
      </c>
      <c r="F498" s="92">
        <v>105</v>
      </c>
      <c r="G498" s="87" t="s">
        <v>81</v>
      </c>
      <c r="H498" s="93">
        <v>1.6</v>
      </c>
      <c r="I498" s="4">
        <v>55</v>
      </c>
      <c r="J498" s="4">
        <f>38+1</f>
        <v>39</v>
      </c>
      <c r="K498" s="93">
        <v>1.6</v>
      </c>
      <c r="L498" s="4"/>
      <c r="M498" s="114" t="s">
        <v>115</v>
      </c>
      <c r="N498" s="88" t="s">
        <v>229</v>
      </c>
      <c r="O498" s="89">
        <v>43834</v>
      </c>
      <c r="P498" s="92" t="s">
        <v>65</v>
      </c>
      <c r="Q498" s="78" t="s">
        <v>47</v>
      </c>
      <c r="R498" s="163">
        <v>149</v>
      </c>
      <c r="S498" s="104"/>
      <c r="T498" s="22"/>
      <c r="U498" s="22"/>
      <c r="V498" s="91" t="s">
        <v>42</v>
      </c>
      <c r="W498" s="73"/>
      <c r="X498"/>
      <c r="Z498"/>
      <c r="AA498" s="33"/>
    </row>
    <row r="499" spans="1:27" s="69" customFormat="1" ht="30" hidden="1">
      <c r="A499" s="79">
        <v>439</v>
      </c>
      <c r="B499" s="92" t="s">
        <v>225</v>
      </c>
      <c r="C499" s="92">
        <v>4</v>
      </c>
      <c r="D499" s="92" t="s">
        <v>32</v>
      </c>
      <c r="E499" s="92" t="s">
        <v>129</v>
      </c>
      <c r="F499" s="92">
        <v>127</v>
      </c>
      <c r="G499" s="87" t="s">
        <v>71</v>
      </c>
      <c r="H499" s="93">
        <v>0.6</v>
      </c>
      <c r="I499" s="4">
        <v>19</v>
      </c>
      <c r="J499" s="4">
        <v>16</v>
      </c>
      <c r="K499" s="93">
        <v>0.6</v>
      </c>
      <c r="L499" s="4"/>
      <c r="M499" s="114" t="s">
        <v>115</v>
      </c>
      <c r="N499" s="88" t="s">
        <v>229</v>
      </c>
      <c r="O499" s="89">
        <v>43834</v>
      </c>
      <c r="P499" s="92" t="s">
        <v>65</v>
      </c>
      <c r="Q499" s="78" t="s">
        <v>50</v>
      </c>
      <c r="R499" s="163">
        <v>72</v>
      </c>
      <c r="S499" s="104"/>
      <c r="T499" s="22"/>
      <c r="U499" s="22"/>
      <c r="V499" s="91" t="s">
        <v>42</v>
      </c>
      <c r="W499" s="73"/>
      <c r="X499"/>
      <c r="Z499"/>
      <c r="AA499" s="33"/>
    </row>
    <row r="500" spans="1:27" s="69" customFormat="1" ht="30" hidden="1">
      <c r="A500" s="79">
        <v>440</v>
      </c>
      <c r="B500" s="92" t="s">
        <v>225</v>
      </c>
      <c r="C500" s="92">
        <v>4</v>
      </c>
      <c r="D500" s="92" t="s">
        <v>32</v>
      </c>
      <c r="E500" s="92" t="s">
        <v>129</v>
      </c>
      <c r="F500" s="92">
        <v>127</v>
      </c>
      <c r="G500" s="87" t="s">
        <v>72</v>
      </c>
      <c r="H500" s="93">
        <v>0.7</v>
      </c>
      <c r="I500" s="4">
        <v>36</v>
      </c>
      <c r="J500" s="4">
        <v>27</v>
      </c>
      <c r="K500" s="93">
        <v>0.7</v>
      </c>
      <c r="L500" s="4"/>
      <c r="M500" s="114" t="s">
        <v>115</v>
      </c>
      <c r="N500" s="88" t="s">
        <v>229</v>
      </c>
      <c r="O500" s="89">
        <v>43834</v>
      </c>
      <c r="P500" s="92" t="s">
        <v>65</v>
      </c>
      <c r="Q500" s="78" t="s">
        <v>50</v>
      </c>
      <c r="R500" s="163">
        <v>98</v>
      </c>
      <c r="S500" s="104"/>
      <c r="T500" s="22"/>
      <c r="U500" s="22"/>
      <c r="V500" s="91" t="s">
        <v>42</v>
      </c>
      <c r="W500" s="73"/>
      <c r="X500"/>
      <c r="Z500"/>
      <c r="AA500" s="33"/>
    </row>
    <row r="501" spans="1:27" s="69" customFormat="1" ht="30" hidden="1">
      <c r="A501" s="79">
        <v>441</v>
      </c>
      <c r="B501" s="92" t="s">
        <v>225</v>
      </c>
      <c r="C501" s="92">
        <v>4</v>
      </c>
      <c r="D501" s="92" t="s">
        <v>32</v>
      </c>
      <c r="E501" s="92" t="s">
        <v>28</v>
      </c>
      <c r="F501" s="92">
        <v>127</v>
      </c>
      <c r="G501" s="87" t="s">
        <v>75</v>
      </c>
      <c r="H501" s="93">
        <v>1.1000000000000001</v>
      </c>
      <c r="I501" s="4">
        <v>44</v>
      </c>
      <c r="J501" s="4">
        <v>35</v>
      </c>
      <c r="K501" s="93">
        <v>1.1000000000000001</v>
      </c>
      <c r="L501" s="4"/>
      <c r="M501" s="114" t="s">
        <v>115</v>
      </c>
      <c r="N501" s="88" t="s">
        <v>229</v>
      </c>
      <c r="O501" s="89">
        <v>43834</v>
      </c>
      <c r="P501" s="92" t="s">
        <v>65</v>
      </c>
      <c r="Q501" s="78" t="s">
        <v>50</v>
      </c>
      <c r="R501" s="163">
        <v>130</v>
      </c>
      <c r="S501" s="104"/>
      <c r="T501" s="22"/>
      <c r="U501" s="22"/>
      <c r="V501" s="91" t="s">
        <v>42</v>
      </c>
      <c r="W501" s="73"/>
      <c r="X501"/>
      <c r="Z501"/>
      <c r="AA501" s="33"/>
    </row>
    <row r="502" spans="1:27" s="69" customFormat="1" ht="30" hidden="1">
      <c r="A502" s="79">
        <v>442</v>
      </c>
      <c r="B502" s="92" t="s">
        <v>225</v>
      </c>
      <c r="C502" s="92">
        <v>4</v>
      </c>
      <c r="D502" s="92" t="s">
        <v>32</v>
      </c>
      <c r="E502" s="92" t="s">
        <v>28</v>
      </c>
      <c r="F502" s="92">
        <v>127</v>
      </c>
      <c r="G502" s="87" t="s">
        <v>77</v>
      </c>
      <c r="H502" s="93">
        <v>2.4</v>
      </c>
      <c r="I502" s="4">
        <v>92</v>
      </c>
      <c r="J502" s="4">
        <v>68</v>
      </c>
      <c r="K502" s="93">
        <v>2.4</v>
      </c>
      <c r="L502" s="4"/>
      <c r="M502" s="114" t="s">
        <v>115</v>
      </c>
      <c r="N502" s="88" t="s">
        <v>229</v>
      </c>
      <c r="O502" s="89">
        <v>43834</v>
      </c>
      <c r="P502" s="92" t="s">
        <v>65</v>
      </c>
      <c r="Q502" s="78" t="s">
        <v>50</v>
      </c>
      <c r="R502" s="163">
        <v>253</v>
      </c>
      <c r="S502" s="104"/>
      <c r="T502" s="22"/>
      <c r="U502" s="22"/>
      <c r="V502" s="91" t="s">
        <v>42</v>
      </c>
      <c r="W502" s="73"/>
      <c r="X502"/>
      <c r="Z502"/>
      <c r="AA502" s="33"/>
    </row>
    <row r="503" spans="1:27" s="69" customFormat="1" hidden="1">
      <c r="A503" s="79">
        <v>443</v>
      </c>
      <c r="B503" s="92" t="s">
        <v>225</v>
      </c>
      <c r="C503" s="92">
        <v>2</v>
      </c>
      <c r="D503" s="92" t="s">
        <v>251</v>
      </c>
      <c r="E503" s="92" t="s">
        <v>28</v>
      </c>
      <c r="F503" s="92">
        <v>16</v>
      </c>
      <c r="G503" s="87" t="s">
        <v>68</v>
      </c>
      <c r="H503" s="93">
        <v>0.2</v>
      </c>
      <c r="I503" s="4">
        <v>59</v>
      </c>
      <c r="J503" s="4">
        <v>49</v>
      </c>
      <c r="K503" s="93"/>
      <c r="L503" s="4">
        <v>0.2</v>
      </c>
      <c r="M503" s="114" t="s">
        <v>115</v>
      </c>
      <c r="N503" s="88" t="s">
        <v>260</v>
      </c>
      <c r="O503" s="89">
        <v>43860</v>
      </c>
      <c r="P503" s="92" t="s">
        <v>65</v>
      </c>
      <c r="Q503" s="78" t="s">
        <v>47</v>
      </c>
      <c r="R503" s="163">
        <v>1148</v>
      </c>
      <c r="S503" s="104"/>
      <c r="T503" s="22"/>
      <c r="U503" s="22"/>
      <c r="V503" s="91"/>
      <c r="W503" s="73"/>
      <c r="X503"/>
      <c r="Z503"/>
      <c r="AA503" s="33"/>
    </row>
    <row r="504" spans="1:27" s="69" customFormat="1" hidden="1">
      <c r="A504" s="79">
        <v>444</v>
      </c>
      <c r="B504" s="92" t="s">
        <v>225</v>
      </c>
      <c r="C504" s="92">
        <v>3</v>
      </c>
      <c r="D504" s="92" t="s">
        <v>251</v>
      </c>
      <c r="E504" s="92" t="s">
        <v>28</v>
      </c>
      <c r="F504" s="92">
        <v>105</v>
      </c>
      <c r="G504" s="87" t="s">
        <v>73</v>
      </c>
      <c r="H504" s="93">
        <v>0.3</v>
      </c>
      <c r="I504" s="4">
        <v>75</v>
      </c>
      <c r="J504" s="4">
        <v>67</v>
      </c>
      <c r="K504" s="93"/>
      <c r="L504" s="4">
        <v>0.3</v>
      </c>
      <c r="M504" s="114" t="s">
        <v>115</v>
      </c>
      <c r="N504" s="88" t="s">
        <v>260</v>
      </c>
      <c r="O504" s="89">
        <v>43860</v>
      </c>
      <c r="P504" s="92" t="s">
        <v>65</v>
      </c>
      <c r="Q504" s="78" t="s">
        <v>47</v>
      </c>
      <c r="R504" s="163">
        <v>1931</v>
      </c>
      <c r="S504" s="104"/>
      <c r="T504" s="22"/>
      <c r="U504" s="22"/>
      <c r="V504" s="91"/>
      <c r="W504" s="73"/>
      <c r="X504"/>
      <c r="Z504"/>
      <c r="AA504" s="33"/>
    </row>
    <row r="505" spans="1:27" s="69" customFormat="1">
      <c r="A505" s="79"/>
      <c r="B505" s="447" t="s">
        <v>10</v>
      </c>
      <c r="C505" s="448"/>
      <c r="D505" s="92" t="s">
        <v>286</v>
      </c>
      <c r="E505" s="92"/>
      <c r="F505" s="92"/>
      <c r="G505" s="87"/>
      <c r="H505" s="93"/>
      <c r="I505" s="4"/>
      <c r="J505" s="163">
        <f>J487</f>
        <v>53</v>
      </c>
      <c r="K505" s="93"/>
      <c r="L505" s="4"/>
      <c r="M505" s="114"/>
      <c r="N505" s="88"/>
      <c r="O505" s="89"/>
      <c r="P505" s="92" t="s">
        <v>65</v>
      </c>
      <c r="Q505" s="78" t="s">
        <v>49</v>
      </c>
      <c r="R505" s="163">
        <f>R487</f>
        <v>249</v>
      </c>
      <c r="S505" s="104"/>
      <c r="T505" s="22"/>
      <c r="U505" s="22"/>
      <c r="V505" s="91"/>
      <c r="W505" s="73"/>
      <c r="X505"/>
      <c r="Z505"/>
      <c r="AA505" s="33"/>
    </row>
    <row r="506" spans="1:27" s="69" customFormat="1">
      <c r="A506" s="79"/>
      <c r="B506" s="449"/>
      <c r="C506" s="450"/>
      <c r="D506" s="443" t="s">
        <v>284</v>
      </c>
      <c r="E506" s="92"/>
      <c r="F506" s="92"/>
      <c r="G506" s="87"/>
      <c r="H506" s="93"/>
      <c r="I506" s="4"/>
      <c r="J506" s="163">
        <f>J489+J493</f>
        <v>126</v>
      </c>
      <c r="K506" s="93"/>
      <c r="L506" s="4"/>
      <c r="M506" s="114"/>
      <c r="N506" s="88"/>
      <c r="O506" s="89"/>
      <c r="P506" s="92" t="s">
        <v>65</v>
      </c>
      <c r="Q506" s="78" t="s">
        <v>49</v>
      </c>
      <c r="R506" s="163">
        <f>R489+R493</f>
        <v>474</v>
      </c>
      <c r="S506" s="104"/>
      <c r="T506" s="22"/>
      <c r="U506" s="22"/>
      <c r="V506" s="91"/>
      <c r="W506" s="73"/>
      <c r="X506"/>
      <c r="Z506"/>
      <c r="AA506" s="33"/>
    </row>
    <row r="507" spans="1:27" s="69" customFormat="1">
      <c r="A507" s="79"/>
      <c r="B507" s="449"/>
      <c r="C507" s="450"/>
      <c r="D507" s="445"/>
      <c r="E507" s="92"/>
      <c r="F507" s="92"/>
      <c r="G507" s="87"/>
      <c r="H507" s="93"/>
      <c r="I507" s="4"/>
      <c r="J507" s="163">
        <f>J494+J495+J496+J497+J498</f>
        <v>227</v>
      </c>
      <c r="K507" s="93"/>
      <c r="L507" s="4"/>
      <c r="M507" s="114"/>
      <c r="N507" s="88"/>
      <c r="O507" s="89"/>
      <c r="P507" s="92" t="s">
        <v>65</v>
      </c>
      <c r="Q507" s="78" t="s">
        <v>47</v>
      </c>
      <c r="R507" s="163">
        <f>R494+R495+R496+R497+R498</f>
        <v>910</v>
      </c>
      <c r="S507" s="104"/>
      <c r="T507" s="22"/>
      <c r="U507" s="22"/>
      <c r="V507" s="91"/>
      <c r="W507" s="73"/>
      <c r="X507"/>
      <c r="Z507"/>
      <c r="AA507" s="33"/>
    </row>
    <row r="508" spans="1:27" s="69" customFormat="1">
      <c r="A508" s="79"/>
      <c r="B508" s="449"/>
      <c r="C508" s="450"/>
      <c r="D508" s="445"/>
      <c r="E508" s="92"/>
      <c r="F508" s="92"/>
      <c r="G508" s="87"/>
      <c r="H508" s="93"/>
      <c r="I508" s="4"/>
      <c r="J508" s="163">
        <f>J488+J490+J491+J492</f>
        <v>202</v>
      </c>
      <c r="K508" s="93"/>
      <c r="L508" s="4"/>
      <c r="M508" s="114"/>
      <c r="N508" s="88"/>
      <c r="O508" s="89"/>
      <c r="P508" s="92" t="s">
        <v>65</v>
      </c>
      <c r="Q508" s="78" t="s">
        <v>48</v>
      </c>
      <c r="R508" s="163">
        <f>R488+R490+R491+R492</f>
        <v>822</v>
      </c>
      <c r="S508" s="104"/>
      <c r="T508" s="22"/>
      <c r="U508" s="22"/>
      <c r="V508" s="91"/>
      <c r="W508" s="73"/>
      <c r="X508"/>
      <c r="Z508"/>
      <c r="AA508" s="33"/>
    </row>
    <row r="509" spans="1:27" s="69" customFormat="1">
      <c r="A509" s="79"/>
      <c r="B509" s="449"/>
      <c r="C509" s="450"/>
      <c r="D509" s="444"/>
      <c r="E509" s="92"/>
      <c r="F509" s="92"/>
      <c r="G509" s="87"/>
      <c r="H509" s="93"/>
      <c r="I509" s="4"/>
      <c r="J509" s="163">
        <f>J499+J500+J501+J502</f>
        <v>146</v>
      </c>
      <c r="K509" s="93"/>
      <c r="L509" s="4"/>
      <c r="M509" s="114"/>
      <c r="N509" s="88"/>
      <c r="O509" s="89"/>
      <c r="P509" s="92" t="s">
        <v>65</v>
      </c>
      <c r="Q509" s="78" t="s">
        <v>50</v>
      </c>
      <c r="R509" s="163">
        <f>R499+R500+R501+R502</f>
        <v>553</v>
      </c>
      <c r="S509" s="104"/>
      <c r="T509" s="22"/>
      <c r="U509" s="22"/>
      <c r="V509" s="91"/>
      <c r="W509" s="73"/>
      <c r="X509"/>
      <c r="Z509"/>
      <c r="AA509" s="33"/>
    </row>
    <row r="510" spans="1:27" s="69" customFormat="1">
      <c r="A510" s="79"/>
      <c r="B510" s="451"/>
      <c r="C510" s="452"/>
      <c r="D510" s="92" t="s">
        <v>285</v>
      </c>
      <c r="E510" s="92"/>
      <c r="F510" s="92"/>
      <c r="G510" s="87"/>
      <c r="H510" s="93"/>
      <c r="I510" s="4"/>
      <c r="J510" s="163">
        <f>J503+J504</f>
        <v>116</v>
      </c>
      <c r="K510" s="93"/>
      <c r="L510" s="4"/>
      <c r="M510" s="114"/>
      <c r="N510" s="88"/>
      <c r="O510" s="89"/>
      <c r="P510" s="92" t="s">
        <v>65</v>
      </c>
      <c r="Q510" s="78" t="s">
        <v>47</v>
      </c>
      <c r="R510" s="163">
        <f>R503+R504</f>
        <v>3079</v>
      </c>
      <c r="S510" s="125"/>
      <c r="T510" s="22"/>
      <c r="U510" s="22"/>
      <c r="V510" s="91"/>
      <c r="W510" s="73"/>
      <c r="X510"/>
      <c r="Z510"/>
      <c r="AA510" s="33"/>
    </row>
    <row r="511" spans="1:27" s="69" customFormat="1" hidden="1">
      <c r="A511" s="79">
        <v>445</v>
      </c>
      <c r="B511" s="92" t="s">
        <v>9</v>
      </c>
      <c r="C511" s="92">
        <v>3</v>
      </c>
      <c r="D511" s="92" t="s">
        <v>31</v>
      </c>
      <c r="E511" s="92" t="s">
        <v>26</v>
      </c>
      <c r="F511" s="92">
        <v>24</v>
      </c>
      <c r="G511" s="87" t="s">
        <v>71</v>
      </c>
      <c r="H511" s="93">
        <v>3.4</v>
      </c>
      <c r="I511" s="4">
        <v>20</v>
      </c>
      <c r="J511" s="4"/>
      <c r="K511" s="93">
        <v>3.4</v>
      </c>
      <c r="L511" s="4"/>
      <c r="M511" s="114" t="s">
        <v>115</v>
      </c>
      <c r="N511" s="88" t="s">
        <v>165</v>
      </c>
      <c r="O511" s="89">
        <v>43834</v>
      </c>
      <c r="P511" s="92" t="s">
        <v>65</v>
      </c>
      <c r="Q511" s="78" t="s">
        <v>105</v>
      </c>
      <c r="R511" s="163"/>
      <c r="S511" s="104"/>
      <c r="T511" s="22"/>
      <c r="U511" s="22"/>
      <c r="V511" s="91" t="s">
        <v>42</v>
      </c>
      <c r="W511" s="73"/>
      <c r="X511"/>
      <c r="Z511"/>
      <c r="AA511" s="33"/>
    </row>
    <row r="512" spans="1:27" hidden="1">
      <c r="A512" s="79">
        <v>446</v>
      </c>
      <c r="B512" s="92" t="s">
        <v>9</v>
      </c>
      <c r="C512" s="92">
        <v>4</v>
      </c>
      <c r="D512" s="92" t="s">
        <v>31</v>
      </c>
      <c r="E512" s="92" t="s">
        <v>26</v>
      </c>
      <c r="F512" s="92">
        <v>26</v>
      </c>
      <c r="G512" s="87" t="s">
        <v>80</v>
      </c>
      <c r="H512" s="93">
        <v>1.3</v>
      </c>
      <c r="I512" s="4">
        <v>4</v>
      </c>
      <c r="J512" s="4"/>
      <c r="K512" s="93">
        <v>1.3</v>
      </c>
      <c r="L512" s="4"/>
      <c r="M512" s="114" t="s">
        <v>115</v>
      </c>
      <c r="N512" s="88" t="s">
        <v>165</v>
      </c>
      <c r="O512" s="89">
        <v>43834</v>
      </c>
      <c r="P512" s="92" t="s">
        <v>65</v>
      </c>
      <c r="Q512" s="78" t="s">
        <v>105</v>
      </c>
      <c r="R512" s="163"/>
      <c r="S512" s="104"/>
      <c r="V512" s="91" t="s">
        <v>42</v>
      </c>
    </row>
    <row r="513" spans="1:27" hidden="1">
      <c r="A513" s="79">
        <v>447</v>
      </c>
      <c r="B513" s="92" t="s">
        <v>9</v>
      </c>
      <c r="C513" s="92">
        <v>4</v>
      </c>
      <c r="D513" s="92" t="s">
        <v>31</v>
      </c>
      <c r="E513" s="92" t="s">
        <v>26</v>
      </c>
      <c r="F513" s="92">
        <v>44</v>
      </c>
      <c r="G513" s="87" t="s">
        <v>67</v>
      </c>
      <c r="H513" s="93">
        <v>3</v>
      </c>
      <c r="I513" s="4">
        <v>6</v>
      </c>
      <c r="J513" s="4"/>
      <c r="K513" s="93">
        <v>3</v>
      </c>
      <c r="L513" s="4"/>
      <c r="M513" s="114" t="s">
        <v>115</v>
      </c>
      <c r="N513" s="88" t="s">
        <v>165</v>
      </c>
      <c r="O513" s="89">
        <v>43834</v>
      </c>
      <c r="P513" s="92" t="s">
        <v>65</v>
      </c>
      <c r="Q513" s="78" t="s">
        <v>105</v>
      </c>
      <c r="R513" s="163"/>
      <c r="S513" s="104"/>
      <c r="V513" s="91" t="s">
        <v>42</v>
      </c>
    </row>
    <row r="514" spans="1:27" hidden="1">
      <c r="A514" s="79">
        <v>448</v>
      </c>
      <c r="B514" s="92" t="s">
        <v>9</v>
      </c>
      <c r="C514" s="92">
        <v>4</v>
      </c>
      <c r="D514" s="92" t="s">
        <v>31</v>
      </c>
      <c r="E514" s="92" t="s">
        <v>28</v>
      </c>
      <c r="F514" s="92">
        <v>44</v>
      </c>
      <c r="G514" s="87" t="s">
        <v>68</v>
      </c>
      <c r="H514" s="93">
        <v>2.8</v>
      </c>
      <c r="I514" s="4">
        <v>9</v>
      </c>
      <c r="J514" s="4"/>
      <c r="K514" s="93">
        <v>2.8</v>
      </c>
      <c r="L514" s="4"/>
      <c r="M514" s="114" t="s">
        <v>115</v>
      </c>
      <c r="N514" s="88" t="s">
        <v>165</v>
      </c>
      <c r="O514" s="89">
        <v>43834</v>
      </c>
      <c r="P514" s="92" t="s">
        <v>65</v>
      </c>
      <c r="Q514" s="78" t="s">
        <v>105</v>
      </c>
      <c r="R514" s="163"/>
      <c r="S514" s="104"/>
      <c r="V514" s="91"/>
    </row>
    <row r="515" spans="1:27" hidden="1">
      <c r="A515" s="79">
        <v>449</v>
      </c>
      <c r="B515" s="92" t="s">
        <v>9</v>
      </c>
      <c r="C515" s="92">
        <v>4</v>
      </c>
      <c r="D515" s="92" t="s">
        <v>31</v>
      </c>
      <c r="E515" s="92" t="s">
        <v>28</v>
      </c>
      <c r="F515" s="92">
        <v>46</v>
      </c>
      <c r="G515" s="87" t="s">
        <v>82</v>
      </c>
      <c r="H515" s="18">
        <v>3</v>
      </c>
      <c r="I515" s="4">
        <v>8</v>
      </c>
      <c r="J515" s="4"/>
      <c r="K515" s="18">
        <v>3</v>
      </c>
      <c r="L515" s="4"/>
      <c r="M515" s="114" t="s">
        <v>115</v>
      </c>
      <c r="N515" s="88" t="s">
        <v>165</v>
      </c>
      <c r="O515" s="89">
        <v>43834</v>
      </c>
      <c r="P515" s="92" t="s">
        <v>65</v>
      </c>
      <c r="Q515" s="78" t="s">
        <v>105</v>
      </c>
      <c r="R515" s="163"/>
      <c r="S515" s="104"/>
      <c r="V515" s="91"/>
    </row>
    <row r="516" spans="1:27" hidden="1">
      <c r="A516" s="79">
        <v>450</v>
      </c>
      <c r="B516" s="92" t="s">
        <v>9</v>
      </c>
      <c r="C516" s="92">
        <v>4</v>
      </c>
      <c r="D516" s="92" t="s">
        <v>31</v>
      </c>
      <c r="E516" s="92" t="s">
        <v>26</v>
      </c>
      <c r="F516" s="92">
        <v>46</v>
      </c>
      <c r="G516" s="87" t="s">
        <v>84</v>
      </c>
      <c r="H516" s="18">
        <v>3</v>
      </c>
      <c r="I516" s="4">
        <v>10</v>
      </c>
      <c r="J516" s="4"/>
      <c r="K516" s="18">
        <v>3</v>
      </c>
      <c r="L516" s="4"/>
      <c r="M516" s="114" t="s">
        <v>115</v>
      </c>
      <c r="N516" s="88" t="s">
        <v>165</v>
      </c>
      <c r="O516" s="89">
        <v>43834</v>
      </c>
      <c r="P516" s="92" t="s">
        <v>65</v>
      </c>
      <c r="Q516" s="78" t="s">
        <v>105</v>
      </c>
      <c r="R516" s="163"/>
      <c r="S516" s="104"/>
      <c r="V516" s="91" t="s">
        <v>42</v>
      </c>
    </row>
    <row r="517" spans="1:27" s="159" customFormat="1" hidden="1">
      <c r="A517" s="79">
        <v>451</v>
      </c>
      <c r="B517" s="148" t="s">
        <v>9</v>
      </c>
      <c r="C517" s="148">
        <v>4</v>
      </c>
      <c r="D517" s="148" t="s">
        <v>31</v>
      </c>
      <c r="E517" s="148" t="s">
        <v>28</v>
      </c>
      <c r="F517" s="148">
        <v>62</v>
      </c>
      <c r="G517" s="149" t="s">
        <v>68</v>
      </c>
      <c r="H517" s="150">
        <v>0.5</v>
      </c>
      <c r="I517" s="151">
        <v>2</v>
      </c>
      <c r="J517" s="151"/>
      <c r="K517" s="150">
        <v>0.5</v>
      </c>
      <c r="L517" s="151"/>
      <c r="M517" s="152" t="s">
        <v>115</v>
      </c>
      <c r="N517" s="153" t="s">
        <v>165</v>
      </c>
      <c r="O517" s="154">
        <v>43834</v>
      </c>
      <c r="P517" s="92" t="s">
        <v>65</v>
      </c>
      <c r="Q517" s="151" t="s">
        <v>105</v>
      </c>
      <c r="R517" s="164"/>
      <c r="S517" s="155"/>
      <c r="T517" s="156"/>
      <c r="U517" s="156"/>
      <c r="V517" s="157" t="s">
        <v>42</v>
      </c>
      <c r="W517" s="158"/>
      <c r="Y517" s="160"/>
      <c r="AA517" s="161"/>
    </row>
    <row r="518" spans="1:27" hidden="1">
      <c r="A518" s="79">
        <v>452</v>
      </c>
      <c r="B518" s="92" t="s">
        <v>9</v>
      </c>
      <c r="C518" s="92">
        <v>4</v>
      </c>
      <c r="D518" s="92" t="s">
        <v>31</v>
      </c>
      <c r="E518" s="92" t="s">
        <v>28</v>
      </c>
      <c r="F518" s="92">
        <v>67</v>
      </c>
      <c r="G518" s="87" t="s">
        <v>69</v>
      </c>
      <c r="H518" s="17">
        <v>0.5</v>
      </c>
      <c r="I518" s="4">
        <v>5</v>
      </c>
      <c r="J518" s="4"/>
      <c r="K518" s="17">
        <v>0.5</v>
      </c>
      <c r="L518" s="4"/>
      <c r="M518" s="114" t="s">
        <v>115</v>
      </c>
      <c r="N518" s="88" t="s">
        <v>165</v>
      </c>
      <c r="O518" s="89">
        <v>43834</v>
      </c>
      <c r="P518" s="92" t="s">
        <v>65</v>
      </c>
      <c r="Q518" s="78" t="s">
        <v>105</v>
      </c>
      <c r="R518" s="163"/>
      <c r="S518" s="104"/>
      <c r="V518" s="91"/>
    </row>
    <row r="519" spans="1:27" hidden="1">
      <c r="A519" s="79">
        <v>453</v>
      </c>
      <c r="B519" s="92" t="s">
        <v>9</v>
      </c>
      <c r="C519" s="92">
        <v>3</v>
      </c>
      <c r="D519" s="92" t="s">
        <v>31</v>
      </c>
      <c r="E519" s="92" t="s">
        <v>28</v>
      </c>
      <c r="F519" s="92">
        <v>67</v>
      </c>
      <c r="G519" s="87" t="s">
        <v>75</v>
      </c>
      <c r="H519" s="93">
        <v>1</v>
      </c>
      <c r="I519" s="4">
        <v>9</v>
      </c>
      <c r="J519" s="4"/>
      <c r="K519" s="93">
        <v>1</v>
      </c>
      <c r="L519" s="4"/>
      <c r="M519" s="114" t="s">
        <v>115</v>
      </c>
      <c r="N519" s="88" t="s">
        <v>165</v>
      </c>
      <c r="O519" s="89">
        <v>43834</v>
      </c>
      <c r="P519" s="92" t="s">
        <v>65</v>
      </c>
      <c r="Q519" s="78" t="s">
        <v>105</v>
      </c>
      <c r="R519" s="163"/>
      <c r="S519" s="104"/>
      <c r="V519" s="91"/>
    </row>
    <row r="520" spans="1:27" hidden="1">
      <c r="A520" s="79">
        <v>454</v>
      </c>
      <c r="B520" s="92" t="s">
        <v>9</v>
      </c>
      <c r="C520" s="92">
        <v>4</v>
      </c>
      <c r="D520" s="92" t="s">
        <v>31</v>
      </c>
      <c r="E520" s="92" t="s">
        <v>26</v>
      </c>
      <c r="F520" s="92">
        <v>37</v>
      </c>
      <c r="G520" s="87" t="s">
        <v>88</v>
      </c>
      <c r="H520" s="93">
        <v>1</v>
      </c>
      <c r="I520" s="4">
        <v>3</v>
      </c>
      <c r="J520" s="4"/>
      <c r="K520" s="93">
        <v>1</v>
      </c>
      <c r="L520" s="4"/>
      <c r="M520" s="114" t="s">
        <v>115</v>
      </c>
      <c r="N520" s="88" t="s">
        <v>165</v>
      </c>
      <c r="O520" s="89">
        <v>43834</v>
      </c>
      <c r="P520" s="92" t="s">
        <v>65</v>
      </c>
      <c r="Q520" s="78" t="s">
        <v>105</v>
      </c>
      <c r="R520" s="163"/>
      <c r="S520" s="104"/>
      <c r="V520" s="91"/>
    </row>
    <row r="521" spans="1:27" hidden="1">
      <c r="A521" s="79">
        <v>455</v>
      </c>
      <c r="B521" s="92" t="s">
        <v>9</v>
      </c>
      <c r="C521" s="92">
        <v>4</v>
      </c>
      <c r="D521" s="92" t="s">
        <v>23</v>
      </c>
      <c r="E521" s="92" t="s">
        <v>28</v>
      </c>
      <c r="F521" s="92">
        <v>17</v>
      </c>
      <c r="G521" s="87" t="s">
        <v>82</v>
      </c>
      <c r="H521" s="93">
        <v>2.1</v>
      </c>
      <c r="I521" s="4">
        <v>68</v>
      </c>
      <c r="J521" s="4">
        <v>15</v>
      </c>
      <c r="K521" s="93">
        <v>2.1</v>
      </c>
      <c r="L521" s="4"/>
      <c r="M521" s="114" t="s">
        <v>115</v>
      </c>
      <c r="N521" s="88" t="s">
        <v>164</v>
      </c>
      <c r="O521" s="89">
        <v>43834</v>
      </c>
      <c r="P521" s="92" t="s">
        <v>65</v>
      </c>
      <c r="Q521" s="78" t="s">
        <v>105</v>
      </c>
      <c r="R521" s="163"/>
      <c r="S521" s="104"/>
      <c r="V521" s="91"/>
    </row>
    <row r="522" spans="1:27" ht="20.25" hidden="1" customHeight="1">
      <c r="A522" s="79">
        <v>456</v>
      </c>
      <c r="B522" s="92" t="s">
        <v>9</v>
      </c>
      <c r="C522" s="92">
        <v>4</v>
      </c>
      <c r="D522" s="92" t="s">
        <v>23</v>
      </c>
      <c r="E522" s="92" t="s">
        <v>28</v>
      </c>
      <c r="F522" s="92">
        <v>17</v>
      </c>
      <c r="G522" s="87" t="s">
        <v>90</v>
      </c>
      <c r="H522" s="93">
        <v>5.9</v>
      </c>
      <c r="I522" s="4">
        <v>154</v>
      </c>
      <c r="J522" s="4">
        <v>45</v>
      </c>
      <c r="K522" s="4">
        <v>5.9</v>
      </c>
      <c r="L522" s="93"/>
      <c r="M522" s="114" t="s">
        <v>115</v>
      </c>
      <c r="N522" s="88" t="s">
        <v>164</v>
      </c>
      <c r="O522" s="89">
        <v>43834</v>
      </c>
      <c r="P522" s="92" t="s">
        <v>65</v>
      </c>
      <c r="Q522" s="78" t="s">
        <v>105</v>
      </c>
      <c r="R522" s="163"/>
      <c r="S522" s="104"/>
      <c r="V522" s="91" t="s">
        <v>42</v>
      </c>
    </row>
    <row r="523" spans="1:27" hidden="1">
      <c r="A523" s="79">
        <v>457</v>
      </c>
      <c r="B523" s="92" t="s">
        <v>9</v>
      </c>
      <c r="C523" s="92">
        <v>4</v>
      </c>
      <c r="D523" s="92" t="s">
        <v>23</v>
      </c>
      <c r="E523" s="92" t="s">
        <v>28</v>
      </c>
      <c r="F523" s="92">
        <v>33</v>
      </c>
      <c r="G523" s="87" t="s">
        <v>79</v>
      </c>
      <c r="H523" s="93">
        <v>1.9</v>
      </c>
      <c r="I523" s="4">
        <v>53</v>
      </c>
      <c r="J523" s="4">
        <v>13</v>
      </c>
      <c r="K523" s="4">
        <v>1.9</v>
      </c>
      <c r="L523" s="93"/>
      <c r="M523" s="114" t="s">
        <v>115</v>
      </c>
      <c r="N523" s="88" t="s">
        <v>164</v>
      </c>
      <c r="O523" s="89">
        <v>43834</v>
      </c>
      <c r="P523" s="92" t="s">
        <v>65</v>
      </c>
      <c r="Q523" s="78" t="s">
        <v>105</v>
      </c>
      <c r="R523" s="163"/>
      <c r="S523" s="104"/>
      <c r="V523" s="91" t="s">
        <v>42</v>
      </c>
    </row>
    <row r="524" spans="1:27" hidden="1">
      <c r="A524" s="79">
        <v>458</v>
      </c>
      <c r="B524" s="92" t="s">
        <v>9</v>
      </c>
      <c r="C524" s="92">
        <v>4</v>
      </c>
      <c r="D524" s="92" t="s">
        <v>23</v>
      </c>
      <c r="E524" s="92" t="s">
        <v>26</v>
      </c>
      <c r="F524" s="92">
        <v>33</v>
      </c>
      <c r="G524" s="87" t="s">
        <v>75</v>
      </c>
      <c r="H524" s="93">
        <v>2.1</v>
      </c>
      <c r="I524" s="4">
        <v>34</v>
      </c>
      <c r="J524" s="4">
        <v>16</v>
      </c>
      <c r="K524" s="4">
        <v>2.1</v>
      </c>
      <c r="L524" s="93"/>
      <c r="M524" s="114" t="s">
        <v>115</v>
      </c>
      <c r="N524" s="88" t="s">
        <v>164</v>
      </c>
      <c r="O524" s="89">
        <v>43834</v>
      </c>
      <c r="P524" s="92" t="s">
        <v>65</v>
      </c>
      <c r="Q524" s="78" t="s">
        <v>105</v>
      </c>
      <c r="R524" s="163"/>
      <c r="S524" s="104"/>
      <c r="V524" s="91" t="s">
        <v>42</v>
      </c>
    </row>
    <row r="525" spans="1:27" hidden="1">
      <c r="A525" s="79">
        <v>459</v>
      </c>
      <c r="B525" s="92" t="s">
        <v>9</v>
      </c>
      <c r="C525" s="92">
        <v>4</v>
      </c>
      <c r="D525" s="92" t="s">
        <v>23</v>
      </c>
      <c r="E525" s="92" t="s">
        <v>26</v>
      </c>
      <c r="F525" s="92">
        <v>34</v>
      </c>
      <c r="G525" s="87" t="s">
        <v>85</v>
      </c>
      <c r="H525" s="93">
        <v>10.4</v>
      </c>
      <c r="I525" s="4">
        <v>219</v>
      </c>
      <c r="J525" s="4">
        <v>60</v>
      </c>
      <c r="K525" s="4">
        <v>10.4</v>
      </c>
      <c r="L525" s="93"/>
      <c r="M525" s="114" t="s">
        <v>115</v>
      </c>
      <c r="N525" s="88" t="s">
        <v>164</v>
      </c>
      <c r="O525" s="89">
        <v>43834</v>
      </c>
      <c r="P525" s="92" t="s">
        <v>65</v>
      </c>
      <c r="Q525" s="78" t="s">
        <v>105</v>
      </c>
      <c r="R525" s="163"/>
      <c r="S525" s="104"/>
      <c r="V525" s="91" t="s">
        <v>42</v>
      </c>
    </row>
    <row r="526" spans="1:27" hidden="1">
      <c r="A526" s="79">
        <v>460</v>
      </c>
      <c r="B526" s="92" t="s">
        <v>9</v>
      </c>
      <c r="C526" s="92">
        <v>4</v>
      </c>
      <c r="D526" s="92" t="s">
        <v>24</v>
      </c>
      <c r="E526" s="92" t="s">
        <v>26</v>
      </c>
      <c r="F526" s="92">
        <v>38</v>
      </c>
      <c r="G526" s="87" t="s">
        <v>67</v>
      </c>
      <c r="H526" s="93">
        <v>6.6</v>
      </c>
      <c r="I526" s="4">
        <v>152</v>
      </c>
      <c r="J526" s="4">
        <v>139</v>
      </c>
      <c r="K526" s="4">
        <v>6.6</v>
      </c>
      <c r="L526" s="93"/>
      <c r="M526" s="114" t="s">
        <v>115</v>
      </c>
      <c r="N526" s="88" t="s">
        <v>156</v>
      </c>
      <c r="O526" s="89">
        <v>43841</v>
      </c>
      <c r="P526" s="92" t="s">
        <v>65</v>
      </c>
      <c r="Q526" s="78" t="s">
        <v>105</v>
      </c>
      <c r="R526" s="163"/>
      <c r="S526" s="104"/>
      <c r="V526" s="91" t="s">
        <v>42</v>
      </c>
    </row>
    <row r="527" spans="1:27" ht="30" hidden="1">
      <c r="A527" s="79">
        <v>461</v>
      </c>
      <c r="B527" s="92" t="s">
        <v>9</v>
      </c>
      <c r="C527" s="92">
        <v>3</v>
      </c>
      <c r="D527" s="92" t="s">
        <v>32</v>
      </c>
      <c r="E527" s="92" t="s">
        <v>28</v>
      </c>
      <c r="F527" s="92">
        <v>12</v>
      </c>
      <c r="G527" s="87" t="s">
        <v>88</v>
      </c>
      <c r="H527" s="93">
        <v>4</v>
      </c>
      <c r="I527" s="4">
        <v>220</v>
      </c>
      <c r="J527" s="4">
        <v>150</v>
      </c>
      <c r="K527" s="4">
        <v>4</v>
      </c>
      <c r="L527" s="93"/>
      <c r="M527" s="114" t="s">
        <v>115</v>
      </c>
      <c r="N527" s="88" t="s">
        <v>230</v>
      </c>
      <c r="O527" s="89">
        <v>43834</v>
      </c>
      <c r="P527" s="92" t="s">
        <v>65</v>
      </c>
      <c r="Q527" s="78" t="s">
        <v>105</v>
      </c>
      <c r="R527" s="163">
        <v>508</v>
      </c>
      <c r="S527" s="104"/>
      <c r="V527" s="91" t="s">
        <v>42</v>
      </c>
    </row>
    <row r="528" spans="1:27" s="73" customFormat="1" ht="30" hidden="1">
      <c r="A528" s="79">
        <v>462</v>
      </c>
      <c r="B528" s="92" t="s">
        <v>9</v>
      </c>
      <c r="C528" s="92">
        <v>4</v>
      </c>
      <c r="D528" s="92" t="s">
        <v>32</v>
      </c>
      <c r="E528" s="92" t="s">
        <v>28</v>
      </c>
      <c r="F528" s="92">
        <v>17</v>
      </c>
      <c r="G528" s="87" t="s">
        <v>92</v>
      </c>
      <c r="H528" s="93">
        <v>0.8</v>
      </c>
      <c r="I528" s="4">
        <v>64</v>
      </c>
      <c r="J528" s="4">
        <v>51</v>
      </c>
      <c r="K528" s="4">
        <v>0.8</v>
      </c>
      <c r="L528" s="93"/>
      <c r="M528" s="114" t="s">
        <v>115</v>
      </c>
      <c r="N528" s="88" t="s">
        <v>230</v>
      </c>
      <c r="O528" s="89">
        <v>43834</v>
      </c>
      <c r="P528" s="92" t="s">
        <v>65</v>
      </c>
      <c r="Q528" s="78" t="s">
        <v>105</v>
      </c>
      <c r="R528" s="163">
        <v>300</v>
      </c>
      <c r="S528" s="104"/>
      <c r="T528" s="22"/>
      <c r="U528" s="22"/>
      <c r="V528" s="91" t="s">
        <v>42</v>
      </c>
      <c r="X528"/>
      <c r="Y528" s="69"/>
      <c r="Z528"/>
      <c r="AA528" s="33"/>
    </row>
    <row r="529" spans="1:27" s="73" customFormat="1" ht="30" hidden="1">
      <c r="A529" s="79">
        <v>463</v>
      </c>
      <c r="B529" s="92" t="s">
        <v>9</v>
      </c>
      <c r="C529" s="92">
        <v>4</v>
      </c>
      <c r="D529" s="92" t="s">
        <v>32</v>
      </c>
      <c r="E529" s="92" t="s">
        <v>28</v>
      </c>
      <c r="F529" s="92">
        <v>17</v>
      </c>
      <c r="G529" s="87" t="s">
        <v>76</v>
      </c>
      <c r="H529" s="93">
        <v>0.7</v>
      </c>
      <c r="I529" s="4">
        <v>16</v>
      </c>
      <c r="J529" s="4">
        <v>14</v>
      </c>
      <c r="K529" s="4">
        <v>0.7</v>
      </c>
      <c r="L529" s="93"/>
      <c r="M529" s="114" t="s">
        <v>115</v>
      </c>
      <c r="N529" s="88" t="s">
        <v>230</v>
      </c>
      <c r="O529" s="89">
        <v>43834</v>
      </c>
      <c r="P529" s="92" t="s">
        <v>65</v>
      </c>
      <c r="Q529" s="78" t="s">
        <v>105</v>
      </c>
      <c r="R529" s="163">
        <v>354</v>
      </c>
      <c r="S529" s="104"/>
      <c r="T529" s="22"/>
      <c r="U529" s="22"/>
      <c r="V529" s="91" t="s">
        <v>60</v>
      </c>
      <c r="X529"/>
      <c r="Y529" s="69"/>
      <c r="Z529"/>
      <c r="AA529" s="33"/>
    </row>
    <row r="530" spans="1:27" s="73" customFormat="1" ht="30" hidden="1">
      <c r="A530" s="79">
        <v>464</v>
      </c>
      <c r="B530" s="92" t="s">
        <v>9</v>
      </c>
      <c r="C530" s="92">
        <v>4</v>
      </c>
      <c r="D530" s="92" t="s">
        <v>32</v>
      </c>
      <c r="E530" s="92" t="s">
        <v>28</v>
      </c>
      <c r="F530" s="92">
        <v>30</v>
      </c>
      <c r="G530" s="87" t="s">
        <v>80</v>
      </c>
      <c r="H530" s="93">
        <v>2.2000000000000002</v>
      </c>
      <c r="I530" s="4">
        <v>50</v>
      </c>
      <c r="J530" s="4">
        <v>45</v>
      </c>
      <c r="K530" s="4">
        <v>2.2000000000000002</v>
      </c>
      <c r="L530" s="93"/>
      <c r="M530" s="114" t="s">
        <v>115</v>
      </c>
      <c r="N530" s="88" t="s">
        <v>230</v>
      </c>
      <c r="O530" s="89">
        <v>43834</v>
      </c>
      <c r="P530" s="92" t="s">
        <v>65</v>
      </c>
      <c r="Q530" s="78" t="s">
        <v>105</v>
      </c>
      <c r="R530" s="163">
        <v>137</v>
      </c>
      <c r="S530" s="104"/>
      <c r="T530" s="22"/>
      <c r="U530" s="22"/>
      <c r="V530" s="91" t="s">
        <v>60</v>
      </c>
      <c r="X530"/>
      <c r="Y530" s="69"/>
      <c r="Z530"/>
      <c r="AA530" s="33"/>
    </row>
    <row r="531" spans="1:27" s="73" customFormat="1" ht="30" hidden="1">
      <c r="A531" s="79">
        <v>465</v>
      </c>
      <c r="B531" s="92" t="s">
        <v>9</v>
      </c>
      <c r="C531" s="92">
        <v>3</v>
      </c>
      <c r="D531" s="92" t="s">
        <v>32</v>
      </c>
      <c r="E531" s="92" t="s">
        <v>28</v>
      </c>
      <c r="F531" s="92">
        <v>51</v>
      </c>
      <c r="G531" s="87" t="s">
        <v>68</v>
      </c>
      <c r="H531" s="93">
        <v>1.7</v>
      </c>
      <c r="I531" s="4">
        <v>141</v>
      </c>
      <c r="J531" s="4">
        <v>118</v>
      </c>
      <c r="K531" s="4">
        <v>1.7</v>
      </c>
      <c r="L531" s="93"/>
      <c r="M531" s="114" t="s">
        <v>115</v>
      </c>
      <c r="N531" s="88" t="s">
        <v>230</v>
      </c>
      <c r="O531" s="89">
        <v>43834</v>
      </c>
      <c r="P531" s="92" t="s">
        <v>65</v>
      </c>
      <c r="Q531" s="78" t="s">
        <v>105</v>
      </c>
      <c r="R531" s="163">
        <v>621</v>
      </c>
      <c r="S531" s="104"/>
      <c r="T531" s="22"/>
      <c r="U531" s="22"/>
      <c r="V531" s="91" t="s">
        <v>60</v>
      </c>
      <c r="X531"/>
      <c r="Y531" s="69"/>
      <c r="Z531"/>
      <c r="AA531" s="33"/>
    </row>
    <row r="532" spans="1:27" s="73" customFormat="1" ht="30" hidden="1">
      <c r="A532" s="79">
        <v>466</v>
      </c>
      <c r="B532" s="92" t="s">
        <v>9</v>
      </c>
      <c r="C532" s="92">
        <v>4</v>
      </c>
      <c r="D532" s="92" t="s">
        <v>32</v>
      </c>
      <c r="E532" s="92" t="s">
        <v>28</v>
      </c>
      <c r="F532" s="92">
        <v>54</v>
      </c>
      <c r="G532" s="87" t="s">
        <v>67</v>
      </c>
      <c r="H532" s="93">
        <v>5.5</v>
      </c>
      <c r="I532" s="4">
        <v>61</v>
      </c>
      <c r="J532" s="4">
        <v>49</v>
      </c>
      <c r="K532" s="4">
        <v>5.5</v>
      </c>
      <c r="L532" s="93"/>
      <c r="M532" s="114" t="s">
        <v>115</v>
      </c>
      <c r="N532" s="88" t="s">
        <v>230</v>
      </c>
      <c r="O532" s="89">
        <v>43834</v>
      </c>
      <c r="P532" s="92" t="s">
        <v>65</v>
      </c>
      <c r="Q532" s="78" t="s">
        <v>105</v>
      </c>
      <c r="R532" s="163">
        <v>153</v>
      </c>
      <c r="S532" s="104"/>
      <c r="T532" s="22"/>
      <c r="U532" s="22"/>
      <c r="V532" s="91" t="s">
        <v>60</v>
      </c>
      <c r="X532"/>
      <c r="Y532" s="69"/>
      <c r="Z532"/>
      <c r="AA532" s="33"/>
    </row>
    <row r="533" spans="1:27" s="73" customFormat="1" hidden="1">
      <c r="A533" s="79">
        <v>467</v>
      </c>
      <c r="B533" s="92" t="s">
        <v>9</v>
      </c>
      <c r="C533" s="92">
        <v>4</v>
      </c>
      <c r="D533" s="92" t="s">
        <v>251</v>
      </c>
      <c r="E533" s="92" t="s">
        <v>28</v>
      </c>
      <c r="F533" s="92">
        <v>57</v>
      </c>
      <c r="G533" s="87" t="s">
        <v>70</v>
      </c>
      <c r="H533" s="93">
        <v>0.5</v>
      </c>
      <c r="I533" s="4">
        <v>176</v>
      </c>
      <c r="J533" s="4">
        <v>153</v>
      </c>
      <c r="K533" s="103"/>
      <c r="L533" s="93">
        <v>0.5</v>
      </c>
      <c r="M533" s="114" t="s">
        <v>115</v>
      </c>
      <c r="N533" s="88" t="s">
        <v>261</v>
      </c>
      <c r="O533" s="89">
        <v>43860</v>
      </c>
      <c r="P533" s="92" t="s">
        <v>65</v>
      </c>
      <c r="Q533" s="78" t="s">
        <v>105</v>
      </c>
      <c r="R533" s="163">
        <v>2150</v>
      </c>
      <c r="S533" s="104"/>
      <c r="T533" s="22"/>
      <c r="U533" s="22"/>
      <c r="V533" s="91"/>
      <c r="X533"/>
      <c r="Y533" s="69"/>
      <c r="Z533"/>
      <c r="AA533" s="33"/>
    </row>
    <row r="534" spans="1:27" s="73" customFormat="1" hidden="1">
      <c r="A534" s="79">
        <v>468</v>
      </c>
      <c r="B534" s="92" t="s">
        <v>9</v>
      </c>
      <c r="C534" s="92">
        <v>4</v>
      </c>
      <c r="D534" s="92" t="s">
        <v>251</v>
      </c>
      <c r="E534" s="92" t="s">
        <v>28</v>
      </c>
      <c r="F534" s="92">
        <v>57</v>
      </c>
      <c r="G534" s="87" t="s">
        <v>195</v>
      </c>
      <c r="H534" s="93">
        <v>0.1</v>
      </c>
      <c r="I534" s="4">
        <v>38</v>
      </c>
      <c r="J534" s="4">
        <v>26</v>
      </c>
      <c r="K534" s="103"/>
      <c r="L534" s="93">
        <v>0.1</v>
      </c>
      <c r="M534" s="114" t="s">
        <v>115</v>
      </c>
      <c r="N534" s="88" t="s">
        <v>261</v>
      </c>
      <c r="O534" s="89">
        <v>43860</v>
      </c>
      <c r="P534" s="92" t="s">
        <v>65</v>
      </c>
      <c r="Q534" s="78" t="s">
        <v>105</v>
      </c>
      <c r="R534" s="163">
        <v>496</v>
      </c>
      <c r="S534" s="104"/>
      <c r="T534" s="22"/>
      <c r="U534" s="22"/>
      <c r="V534" s="91"/>
      <c r="X534"/>
      <c r="Y534" s="69"/>
      <c r="Z534"/>
      <c r="AA534" s="33"/>
    </row>
    <row r="535" spans="1:27" s="73" customFormat="1" ht="45" hidden="1">
      <c r="A535" s="79">
        <v>469</v>
      </c>
      <c r="B535" s="92" t="s">
        <v>9</v>
      </c>
      <c r="C535" s="92">
        <v>3</v>
      </c>
      <c r="D535" s="92" t="s">
        <v>125</v>
      </c>
      <c r="E535" s="92" t="s">
        <v>26</v>
      </c>
      <c r="F535" s="92">
        <v>22</v>
      </c>
      <c r="G535" s="87" t="s">
        <v>77</v>
      </c>
      <c r="H535" s="93">
        <v>0.6</v>
      </c>
      <c r="I535" s="4">
        <v>2</v>
      </c>
      <c r="J535" s="4">
        <v>1</v>
      </c>
      <c r="K535" s="103">
        <v>0.6</v>
      </c>
      <c r="L535" s="93"/>
      <c r="M535" s="114" t="s">
        <v>115</v>
      </c>
      <c r="N535" s="88" t="s">
        <v>236</v>
      </c>
      <c r="O535" s="89">
        <v>43850</v>
      </c>
      <c r="P535" s="92" t="s">
        <v>65</v>
      </c>
      <c r="Q535" s="78" t="s">
        <v>105</v>
      </c>
      <c r="R535" s="163">
        <v>3</v>
      </c>
      <c r="S535" s="104"/>
      <c r="T535" s="22"/>
      <c r="U535" s="22"/>
      <c r="V535" s="91"/>
      <c r="X535"/>
      <c r="Y535" s="69"/>
      <c r="Z535"/>
      <c r="AA535" s="33"/>
    </row>
    <row r="536" spans="1:27" s="73" customFormat="1" ht="45" hidden="1">
      <c r="A536" s="79">
        <v>470</v>
      </c>
      <c r="B536" s="92" t="s">
        <v>9</v>
      </c>
      <c r="C536" s="92">
        <v>3</v>
      </c>
      <c r="D536" s="92" t="s">
        <v>125</v>
      </c>
      <c r="E536" s="92" t="s">
        <v>26</v>
      </c>
      <c r="F536" s="92">
        <v>22</v>
      </c>
      <c r="G536" s="87" t="s">
        <v>74</v>
      </c>
      <c r="H536" s="93">
        <v>0.3</v>
      </c>
      <c r="I536" s="4">
        <v>3</v>
      </c>
      <c r="J536" s="4">
        <v>3</v>
      </c>
      <c r="K536" s="103">
        <v>0.3</v>
      </c>
      <c r="L536" s="93"/>
      <c r="M536" s="114" t="s">
        <v>115</v>
      </c>
      <c r="N536" s="88" t="s">
        <v>236</v>
      </c>
      <c r="O536" s="89">
        <v>43850</v>
      </c>
      <c r="P536" s="92" t="s">
        <v>65</v>
      </c>
      <c r="Q536" s="78" t="s">
        <v>105</v>
      </c>
      <c r="R536" s="163">
        <v>12</v>
      </c>
      <c r="S536" s="104"/>
      <c r="T536" s="22"/>
      <c r="U536" s="22"/>
      <c r="V536" s="91"/>
      <c r="X536"/>
      <c r="Y536" s="69"/>
      <c r="Z536"/>
      <c r="AA536" s="33"/>
    </row>
    <row r="537" spans="1:27" s="73" customFormat="1" ht="45" hidden="1">
      <c r="A537" s="79">
        <v>471</v>
      </c>
      <c r="B537" s="92" t="s">
        <v>9</v>
      </c>
      <c r="C537" s="92">
        <v>4</v>
      </c>
      <c r="D537" s="92" t="s">
        <v>125</v>
      </c>
      <c r="E537" s="92" t="s">
        <v>28</v>
      </c>
      <c r="F537" s="92">
        <v>30</v>
      </c>
      <c r="G537" s="87" t="s">
        <v>85</v>
      </c>
      <c r="H537" s="93">
        <v>1</v>
      </c>
      <c r="I537" s="4">
        <v>80</v>
      </c>
      <c r="J537" s="4">
        <v>65</v>
      </c>
      <c r="K537" s="103">
        <v>1</v>
      </c>
      <c r="L537" s="93"/>
      <c r="M537" s="114" t="s">
        <v>115</v>
      </c>
      <c r="N537" s="88" t="s">
        <v>236</v>
      </c>
      <c r="O537" s="89">
        <v>43850</v>
      </c>
      <c r="P537" s="92" t="s">
        <v>65</v>
      </c>
      <c r="Q537" s="78" t="s">
        <v>105</v>
      </c>
      <c r="R537" s="163">
        <v>183</v>
      </c>
      <c r="S537" s="104"/>
      <c r="T537" s="22"/>
      <c r="U537" s="22"/>
      <c r="V537" s="91"/>
      <c r="X537"/>
      <c r="Y537" s="69"/>
      <c r="Z537"/>
      <c r="AA537" s="33"/>
    </row>
    <row r="538" spans="1:27" s="73" customFormat="1" ht="45" hidden="1">
      <c r="A538" s="79">
        <v>472</v>
      </c>
      <c r="B538" s="92" t="s">
        <v>9</v>
      </c>
      <c r="C538" s="92">
        <v>4</v>
      </c>
      <c r="D538" s="92" t="s">
        <v>125</v>
      </c>
      <c r="E538" s="92" t="s">
        <v>197</v>
      </c>
      <c r="F538" s="92">
        <v>49</v>
      </c>
      <c r="G538" s="87" t="s">
        <v>67</v>
      </c>
      <c r="H538" s="93">
        <v>0.3</v>
      </c>
      <c r="I538" s="4">
        <v>12</v>
      </c>
      <c r="J538" s="4">
        <v>2</v>
      </c>
      <c r="K538" s="103">
        <v>0.3</v>
      </c>
      <c r="L538" s="93"/>
      <c r="M538" s="114" t="s">
        <v>115</v>
      </c>
      <c r="N538" s="88" t="s">
        <v>236</v>
      </c>
      <c r="O538" s="89">
        <v>43850</v>
      </c>
      <c r="P538" s="92" t="s">
        <v>65</v>
      </c>
      <c r="Q538" s="78" t="s">
        <v>105</v>
      </c>
      <c r="R538" s="163">
        <v>6</v>
      </c>
      <c r="S538" s="104"/>
      <c r="T538" s="22"/>
      <c r="U538" s="22"/>
      <c r="V538" s="91"/>
      <c r="X538"/>
      <c r="Y538" s="69"/>
      <c r="Z538"/>
      <c r="AA538" s="33"/>
    </row>
    <row r="539" spans="1:27" s="73" customFormat="1" ht="45" hidden="1">
      <c r="A539" s="79">
        <v>473</v>
      </c>
      <c r="B539" s="92" t="s">
        <v>9</v>
      </c>
      <c r="C539" s="92">
        <v>4</v>
      </c>
      <c r="D539" s="92" t="s">
        <v>125</v>
      </c>
      <c r="E539" s="92" t="s">
        <v>26</v>
      </c>
      <c r="F539" s="92">
        <v>58</v>
      </c>
      <c r="G539" s="87" t="s">
        <v>75</v>
      </c>
      <c r="H539" s="93">
        <v>1</v>
      </c>
      <c r="I539" s="4">
        <v>6</v>
      </c>
      <c r="J539" s="4">
        <v>4</v>
      </c>
      <c r="K539" s="103">
        <v>1</v>
      </c>
      <c r="L539" s="93"/>
      <c r="M539" s="114" t="s">
        <v>115</v>
      </c>
      <c r="N539" s="88" t="s">
        <v>236</v>
      </c>
      <c r="O539" s="89">
        <v>43850</v>
      </c>
      <c r="P539" s="92" t="s">
        <v>65</v>
      </c>
      <c r="Q539" s="78" t="s">
        <v>105</v>
      </c>
      <c r="R539" s="163">
        <v>15</v>
      </c>
      <c r="S539" s="104"/>
      <c r="T539" s="22"/>
      <c r="U539" s="22"/>
      <c r="V539" s="91"/>
      <c r="X539"/>
      <c r="Y539" s="69"/>
      <c r="Z539"/>
      <c r="AA539" s="33"/>
    </row>
    <row r="540" spans="1:27" s="73" customFormat="1" ht="45" hidden="1">
      <c r="A540" s="79">
        <v>474</v>
      </c>
      <c r="B540" s="92" t="s">
        <v>9</v>
      </c>
      <c r="C540" s="92">
        <v>3</v>
      </c>
      <c r="D540" s="92" t="s">
        <v>125</v>
      </c>
      <c r="E540" s="92" t="s">
        <v>26</v>
      </c>
      <c r="F540" s="92">
        <v>22</v>
      </c>
      <c r="G540" s="87" t="s">
        <v>79</v>
      </c>
      <c r="H540" s="93">
        <v>0.4</v>
      </c>
      <c r="I540" s="4">
        <v>1</v>
      </c>
      <c r="J540" s="4"/>
      <c r="K540" s="103">
        <v>0.4</v>
      </c>
      <c r="L540" s="93"/>
      <c r="M540" s="114" t="s">
        <v>115</v>
      </c>
      <c r="N540" s="88" t="s">
        <v>236</v>
      </c>
      <c r="O540" s="89">
        <v>43850</v>
      </c>
      <c r="P540" s="92" t="s">
        <v>65</v>
      </c>
      <c r="Q540" s="78" t="s">
        <v>105</v>
      </c>
      <c r="R540" s="163"/>
      <c r="S540" s="104"/>
      <c r="T540" s="22"/>
      <c r="U540" s="22"/>
      <c r="V540" s="91"/>
      <c r="X540"/>
      <c r="Y540" s="69"/>
      <c r="Z540"/>
      <c r="AA540" s="33"/>
    </row>
    <row r="541" spans="1:27" s="73" customFormat="1" ht="45" hidden="1">
      <c r="A541" s="79">
        <v>475</v>
      </c>
      <c r="B541" s="92" t="s">
        <v>9</v>
      </c>
      <c r="C541" s="92">
        <v>3</v>
      </c>
      <c r="D541" s="92" t="s">
        <v>125</v>
      </c>
      <c r="E541" s="92" t="s">
        <v>26</v>
      </c>
      <c r="F541" s="92">
        <v>13</v>
      </c>
      <c r="G541" s="87" t="s">
        <v>84</v>
      </c>
      <c r="H541" s="93">
        <v>1.2</v>
      </c>
      <c r="I541" s="4">
        <v>11</v>
      </c>
      <c r="J541" s="4">
        <v>11</v>
      </c>
      <c r="K541" s="103">
        <v>1.2</v>
      </c>
      <c r="L541" s="93"/>
      <c r="M541" s="114" t="s">
        <v>115</v>
      </c>
      <c r="N541" s="88" t="s">
        <v>306</v>
      </c>
      <c r="O541" s="89">
        <v>43903</v>
      </c>
      <c r="P541" s="92" t="s">
        <v>65</v>
      </c>
      <c r="Q541" s="78" t="s">
        <v>105</v>
      </c>
      <c r="R541" s="163">
        <v>43</v>
      </c>
      <c r="S541" s="104"/>
      <c r="T541" s="22"/>
      <c r="U541" s="22"/>
      <c r="V541" s="91"/>
      <c r="X541"/>
      <c r="Y541" s="69"/>
      <c r="Z541"/>
      <c r="AA541" s="33"/>
    </row>
    <row r="542" spans="1:27" s="73" customFormat="1">
      <c r="A542" s="79"/>
      <c r="B542" s="447" t="s">
        <v>9</v>
      </c>
      <c r="C542" s="448"/>
      <c r="D542" s="92" t="s">
        <v>284</v>
      </c>
      <c r="E542" s="92"/>
      <c r="F542" s="92"/>
      <c r="G542" s="87"/>
      <c r="H542" s="93"/>
      <c r="I542" s="4"/>
      <c r="J542" s="163">
        <f>J527+J528+J529+J530+J531+J532</f>
        <v>427</v>
      </c>
      <c r="K542" s="103"/>
      <c r="L542" s="93"/>
      <c r="M542" s="114"/>
      <c r="N542" s="88"/>
      <c r="O542" s="89"/>
      <c r="P542" s="92" t="s">
        <v>65</v>
      </c>
      <c r="Q542" s="78" t="s">
        <v>105</v>
      </c>
      <c r="R542" s="163">
        <f>R527+R528+R529+R530+R531+R532</f>
        <v>2073</v>
      </c>
      <c r="S542" s="104"/>
      <c r="T542" s="22"/>
      <c r="U542" s="22"/>
      <c r="V542" s="91"/>
      <c r="X542"/>
      <c r="Y542" s="69"/>
      <c r="Z542"/>
      <c r="AA542" s="33"/>
    </row>
    <row r="543" spans="1:27" s="73" customFormat="1">
      <c r="A543" s="79"/>
      <c r="B543" s="449"/>
      <c r="C543" s="450"/>
      <c r="D543" s="92" t="s">
        <v>285</v>
      </c>
      <c r="E543" s="92"/>
      <c r="F543" s="92"/>
      <c r="G543" s="87"/>
      <c r="H543" s="93"/>
      <c r="I543" s="4"/>
      <c r="J543" s="163">
        <f>J533+J534</f>
        <v>179</v>
      </c>
      <c r="K543" s="103"/>
      <c r="L543" s="93"/>
      <c r="M543" s="114"/>
      <c r="N543" s="88"/>
      <c r="O543" s="89"/>
      <c r="P543" s="92" t="s">
        <v>65</v>
      </c>
      <c r="Q543" s="78" t="s">
        <v>105</v>
      </c>
      <c r="R543" s="163">
        <f>R533+R534</f>
        <v>2646</v>
      </c>
      <c r="S543" s="104"/>
      <c r="T543" s="22"/>
      <c r="U543" s="22"/>
      <c r="V543" s="91"/>
      <c r="X543"/>
      <c r="Y543" s="69"/>
      <c r="Z543"/>
      <c r="AA543" s="33"/>
    </row>
    <row r="544" spans="1:27" s="73" customFormat="1" ht="45">
      <c r="A544" s="79"/>
      <c r="B544" s="451"/>
      <c r="C544" s="452"/>
      <c r="D544" s="92" t="s">
        <v>125</v>
      </c>
      <c r="E544" s="92"/>
      <c r="F544" s="92"/>
      <c r="G544" s="87"/>
      <c r="H544" s="93"/>
      <c r="I544" s="4"/>
      <c r="J544" s="163">
        <f>J535+J536+J537+J538+J539+J541</f>
        <v>86</v>
      </c>
      <c r="K544" s="103"/>
      <c r="L544" s="93"/>
      <c r="M544" s="114"/>
      <c r="N544" s="88"/>
      <c r="O544" s="89"/>
      <c r="P544" s="92" t="s">
        <v>65</v>
      </c>
      <c r="Q544" s="78" t="s">
        <v>105</v>
      </c>
      <c r="R544" s="163">
        <f>R535+R536+R537+R538+R539+R541</f>
        <v>262</v>
      </c>
      <c r="S544" s="125"/>
      <c r="T544" s="22"/>
      <c r="U544" s="22"/>
      <c r="V544" s="91"/>
      <c r="X544"/>
      <c r="Y544" s="69"/>
      <c r="Z544"/>
      <c r="AA544" s="33"/>
    </row>
    <row r="545" spans="1:27" s="73" customFormat="1" hidden="1">
      <c r="A545" s="79">
        <v>476</v>
      </c>
      <c r="B545" s="92" t="s">
        <v>12</v>
      </c>
      <c r="C545" s="92">
        <v>2</v>
      </c>
      <c r="D545" s="92" t="s">
        <v>31</v>
      </c>
      <c r="E545" s="92" t="s">
        <v>26</v>
      </c>
      <c r="F545" s="92">
        <v>11</v>
      </c>
      <c r="G545" s="87" t="s">
        <v>77</v>
      </c>
      <c r="H545" s="93">
        <v>2.1</v>
      </c>
      <c r="I545" s="4">
        <v>4</v>
      </c>
      <c r="J545" s="4"/>
      <c r="K545" s="4">
        <v>2.1</v>
      </c>
      <c r="L545" s="93"/>
      <c r="M545" s="114" t="s">
        <v>115</v>
      </c>
      <c r="N545" s="88" t="s">
        <v>145</v>
      </c>
      <c r="O545" s="89">
        <v>43847</v>
      </c>
      <c r="P545" s="92" t="s">
        <v>64</v>
      </c>
      <c r="Q545" s="78" t="s">
        <v>42</v>
      </c>
      <c r="R545" s="163"/>
      <c r="S545" s="104"/>
      <c r="T545" s="22"/>
      <c r="U545" s="22"/>
      <c r="V545" s="91" t="s">
        <v>60</v>
      </c>
      <c r="X545"/>
      <c r="Y545" s="69"/>
      <c r="Z545"/>
      <c r="AA545" s="33"/>
    </row>
    <row r="546" spans="1:27" s="73" customFormat="1" ht="20.25" hidden="1" customHeight="1">
      <c r="A546" s="79">
        <v>477</v>
      </c>
      <c r="B546" s="92" t="s">
        <v>12</v>
      </c>
      <c r="C546" s="92">
        <v>2</v>
      </c>
      <c r="D546" s="92" t="s">
        <v>31</v>
      </c>
      <c r="E546" s="92" t="s">
        <v>26</v>
      </c>
      <c r="F546" s="92">
        <v>27</v>
      </c>
      <c r="G546" s="87" t="s">
        <v>74</v>
      </c>
      <c r="H546" s="93">
        <v>3</v>
      </c>
      <c r="I546" s="4">
        <v>24</v>
      </c>
      <c r="J546" s="4"/>
      <c r="K546" s="4">
        <v>3</v>
      </c>
      <c r="L546" s="93"/>
      <c r="M546" s="114" t="s">
        <v>115</v>
      </c>
      <c r="N546" s="88" t="s">
        <v>145</v>
      </c>
      <c r="O546" s="89">
        <v>43847</v>
      </c>
      <c r="P546" s="92" t="s">
        <v>64</v>
      </c>
      <c r="Q546" s="78" t="s">
        <v>42</v>
      </c>
      <c r="R546" s="163"/>
      <c r="S546" s="104"/>
      <c r="T546" s="22"/>
      <c r="U546" s="22"/>
      <c r="V546" s="91" t="s">
        <v>42</v>
      </c>
      <c r="X546"/>
      <c r="Y546" s="69"/>
      <c r="Z546"/>
      <c r="AA546" s="33"/>
    </row>
    <row r="547" spans="1:27" s="73" customFormat="1" hidden="1">
      <c r="A547" s="79">
        <v>478</v>
      </c>
      <c r="B547" s="92" t="s">
        <v>12</v>
      </c>
      <c r="C547" s="92">
        <v>2</v>
      </c>
      <c r="D547" s="92" t="s">
        <v>31</v>
      </c>
      <c r="E547" s="92" t="s">
        <v>26</v>
      </c>
      <c r="F547" s="92">
        <v>29</v>
      </c>
      <c r="G547" s="87" t="s">
        <v>74</v>
      </c>
      <c r="H547" s="93">
        <v>0.8</v>
      </c>
      <c r="I547" s="4">
        <v>3</v>
      </c>
      <c r="J547" s="4"/>
      <c r="K547" s="4">
        <v>0.8</v>
      </c>
      <c r="L547" s="93"/>
      <c r="M547" s="114" t="s">
        <v>115</v>
      </c>
      <c r="N547" s="88" t="s">
        <v>145</v>
      </c>
      <c r="O547" s="89">
        <v>43847</v>
      </c>
      <c r="P547" s="92" t="s">
        <v>64</v>
      </c>
      <c r="Q547" s="78" t="s">
        <v>42</v>
      </c>
      <c r="R547" s="163"/>
      <c r="S547" s="104"/>
      <c r="T547" s="22"/>
      <c r="U547" s="22"/>
      <c r="V547" s="91" t="s">
        <v>42</v>
      </c>
      <c r="X547"/>
      <c r="Y547" s="69"/>
      <c r="Z547"/>
      <c r="AA547" s="33"/>
    </row>
    <row r="548" spans="1:27" s="73" customFormat="1" hidden="1">
      <c r="A548" s="79">
        <v>479</v>
      </c>
      <c r="B548" s="92" t="s">
        <v>12</v>
      </c>
      <c r="C548" s="92">
        <v>2</v>
      </c>
      <c r="D548" s="92" t="s">
        <v>31</v>
      </c>
      <c r="E548" s="92" t="s">
        <v>197</v>
      </c>
      <c r="F548" s="92">
        <v>51</v>
      </c>
      <c r="G548" s="87" t="s">
        <v>97</v>
      </c>
      <c r="H548" s="93">
        <v>0.5</v>
      </c>
      <c r="I548" s="4">
        <v>2</v>
      </c>
      <c r="J548" s="4"/>
      <c r="K548" s="4">
        <v>0.5</v>
      </c>
      <c r="L548" s="93"/>
      <c r="M548" s="114" t="s">
        <v>115</v>
      </c>
      <c r="N548" s="88" t="s">
        <v>145</v>
      </c>
      <c r="O548" s="89">
        <v>43847</v>
      </c>
      <c r="P548" s="92" t="s">
        <v>66</v>
      </c>
      <c r="Q548" s="78" t="s">
        <v>60</v>
      </c>
      <c r="R548" s="163"/>
      <c r="S548" s="104"/>
      <c r="T548" s="22"/>
      <c r="U548" s="22"/>
      <c r="V548" s="91"/>
      <c r="X548"/>
      <c r="Y548" s="69"/>
      <c r="Z548"/>
      <c r="AA548" s="33"/>
    </row>
    <row r="549" spans="1:27" s="73" customFormat="1" hidden="1">
      <c r="A549" s="79">
        <v>480</v>
      </c>
      <c r="B549" s="92" t="s">
        <v>12</v>
      </c>
      <c r="C549" s="92">
        <v>2</v>
      </c>
      <c r="D549" s="92" t="s">
        <v>31</v>
      </c>
      <c r="E549" s="92" t="s">
        <v>197</v>
      </c>
      <c r="F549" s="92">
        <v>51</v>
      </c>
      <c r="G549" s="87" t="s">
        <v>99</v>
      </c>
      <c r="H549" s="93">
        <v>0.3</v>
      </c>
      <c r="I549" s="4">
        <v>1</v>
      </c>
      <c r="J549" s="4"/>
      <c r="K549" s="4">
        <v>0.3</v>
      </c>
      <c r="L549" s="93"/>
      <c r="M549" s="114" t="s">
        <v>115</v>
      </c>
      <c r="N549" s="88" t="s">
        <v>145</v>
      </c>
      <c r="O549" s="89">
        <v>43847</v>
      </c>
      <c r="P549" s="92" t="s">
        <v>66</v>
      </c>
      <c r="Q549" s="78" t="s">
        <v>60</v>
      </c>
      <c r="R549" s="163"/>
      <c r="S549" s="104"/>
      <c r="T549" s="22"/>
      <c r="U549" s="22"/>
      <c r="V549" s="91"/>
      <c r="X549"/>
      <c r="Y549" s="69"/>
      <c r="Z549"/>
      <c r="AA549" s="33"/>
    </row>
    <row r="550" spans="1:27" s="73" customFormat="1" hidden="1">
      <c r="A550" s="79">
        <v>481</v>
      </c>
      <c r="B550" s="92" t="s">
        <v>12</v>
      </c>
      <c r="C550" s="92">
        <v>2</v>
      </c>
      <c r="D550" s="92" t="s">
        <v>31</v>
      </c>
      <c r="E550" s="92" t="s">
        <v>26</v>
      </c>
      <c r="F550" s="92">
        <v>6</v>
      </c>
      <c r="G550" s="87" t="s">
        <v>71</v>
      </c>
      <c r="H550" s="93">
        <v>0.6</v>
      </c>
      <c r="I550" s="4">
        <v>6</v>
      </c>
      <c r="J550" s="4"/>
      <c r="K550" s="4">
        <v>0.6</v>
      </c>
      <c r="L550" s="93"/>
      <c r="M550" s="114" t="s">
        <v>115</v>
      </c>
      <c r="N550" s="88" t="s">
        <v>145</v>
      </c>
      <c r="O550" s="89">
        <v>43847</v>
      </c>
      <c r="P550" s="92" t="s">
        <v>64</v>
      </c>
      <c r="Q550" s="78" t="s">
        <v>44</v>
      </c>
      <c r="R550" s="163"/>
      <c r="S550" s="104"/>
      <c r="T550" s="22"/>
      <c r="U550" s="22"/>
      <c r="V550" s="91"/>
      <c r="X550"/>
      <c r="Y550" s="69"/>
      <c r="Z550"/>
      <c r="AA550" s="33"/>
    </row>
    <row r="551" spans="1:27" s="73" customFormat="1" hidden="1">
      <c r="A551" s="79">
        <v>482</v>
      </c>
      <c r="B551" s="92" t="s">
        <v>12</v>
      </c>
      <c r="C551" s="92">
        <v>2</v>
      </c>
      <c r="D551" s="92" t="s">
        <v>31</v>
      </c>
      <c r="E551" s="92" t="s">
        <v>26</v>
      </c>
      <c r="F551" s="92">
        <v>6</v>
      </c>
      <c r="G551" s="87" t="s">
        <v>75</v>
      </c>
      <c r="H551" s="93">
        <v>0.5</v>
      </c>
      <c r="I551" s="4">
        <v>2</v>
      </c>
      <c r="J551" s="4"/>
      <c r="K551" s="103">
        <v>0.5</v>
      </c>
      <c r="L551" s="93"/>
      <c r="M551" s="114" t="s">
        <v>115</v>
      </c>
      <c r="N551" s="88" t="s">
        <v>145</v>
      </c>
      <c r="O551" s="89">
        <v>43847</v>
      </c>
      <c r="P551" s="92" t="s">
        <v>64</v>
      </c>
      <c r="Q551" s="78" t="s">
        <v>44</v>
      </c>
      <c r="R551" s="163"/>
      <c r="S551" s="104"/>
      <c r="T551" s="22"/>
      <c r="U551" s="22"/>
      <c r="V551" s="91"/>
      <c r="X551"/>
      <c r="Y551" s="69"/>
      <c r="Z551"/>
      <c r="AA551" s="33"/>
    </row>
    <row r="552" spans="1:27" s="73" customFormat="1" hidden="1">
      <c r="A552" s="79">
        <v>483</v>
      </c>
      <c r="B552" s="92" t="s">
        <v>12</v>
      </c>
      <c r="C552" s="92">
        <v>2</v>
      </c>
      <c r="D552" s="92" t="s">
        <v>31</v>
      </c>
      <c r="E552" s="92" t="s">
        <v>26</v>
      </c>
      <c r="F552" s="92">
        <v>70</v>
      </c>
      <c r="G552" s="87" t="s">
        <v>67</v>
      </c>
      <c r="H552" s="93">
        <v>0.8</v>
      </c>
      <c r="I552" s="4">
        <v>20</v>
      </c>
      <c r="J552" s="4"/>
      <c r="K552" s="103">
        <v>0.8</v>
      </c>
      <c r="L552" s="93"/>
      <c r="M552" s="114" t="s">
        <v>115</v>
      </c>
      <c r="N552" s="88" t="s">
        <v>145</v>
      </c>
      <c r="O552" s="89">
        <v>43847</v>
      </c>
      <c r="P552" s="92" t="s">
        <v>66</v>
      </c>
      <c r="Q552" s="78" t="s">
        <v>60</v>
      </c>
      <c r="R552" s="163"/>
      <c r="S552" s="104"/>
      <c r="T552" s="22"/>
      <c r="U552" s="22"/>
      <c r="V552" s="91"/>
      <c r="X552"/>
      <c r="Y552" s="69"/>
      <c r="Z552"/>
      <c r="AA552" s="33"/>
    </row>
    <row r="553" spans="1:27" s="73" customFormat="1" hidden="1">
      <c r="A553" s="79">
        <v>484</v>
      </c>
      <c r="B553" s="92" t="s">
        <v>12</v>
      </c>
      <c r="C553" s="92">
        <v>2</v>
      </c>
      <c r="D553" s="92" t="s">
        <v>23</v>
      </c>
      <c r="E553" s="92" t="s">
        <v>26</v>
      </c>
      <c r="F553" s="92">
        <v>11</v>
      </c>
      <c r="G553" s="87" t="s">
        <v>68</v>
      </c>
      <c r="H553" s="93">
        <v>4</v>
      </c>
      <c r="I553" s="4">
        <v>103</v>
      </c>
      <c r="J553" s="4">
        <v>2</v>
      </c>
      <c r="K553" s="103">
        <v>4</v>
      </c>
      <c r="L553" s="93"/>
      <c r="M553" s="114" t="s">
        <v>115</v>
      </c>
      <c r="N553" s="88" t="s">
        <v>146</v>
      </c>
      <c r="O553" s="89">
        <v>43847</v>
      </c>
      <c r="P553" s="92" t="s">
        <v>64</v>
      </c>
      <c r="Q553" s="78" t="s">
        <v>42</v>
      </c>
      <c r="R553" s="163"/>
      <c r="S553" s="104"/>
      <c r="T553" s="22"/>
      <c r="U553" s="22"/>
      <c r="V553" s="91"/>
      <c r="X553"/>
      <c r="Y553" s="69"/>
      <c r="Z553"/>
      <c r="AA553" s="33"/>
    </row>
    <row r="554" spans="1:27" s="73" customFormat="1" hidden="1">
      <c r="A554" s="79">
        <v>485</v>
      </c>
      <c r="B554" s="92" t="s">
        <v>12</v>
      </c>
      <c r="C554" s="92">
        <v>2</v>
      </c>
      <c r="D554" s="92" t="s">
        <v>23</v>
      </c>
      <c r="E554" s="92" t="s">
        <v>26</v>
      </c>
      <c r="F554" s="92">
        <v>11</v>
      </c>
      <c r="G554" s="87" t="s">
        <v>75</v>
      </c>
      <c r="H554" s="93">
        <v>4.0999999999999996</v>
      </c>
      <c r="I554" s="4">
        <v>63</v>
      </c>
      <c r="J554" s="4"/>
      <c r="K554" s="103">
        <v>4.0999999999999996</v>
      </c>
      <c r="L554" s="93"/>
      <c r="M554" s="114" t="s">
        <v>115</v>
      </c>
      <c r="N554" s="88" t="s">
        <v>146</v>
      </c>
      <c r="O554" s="89">
        <v>43847</v>
      </c>
      <c r="P554" s="92" t="s">
        <v>64</v>
      </c>
      <c r="Q554" s="78" t="s">
        <v>42</v>
      </c>
      <c r="R554" s="163"/>
      <c r="S554" s="104"/>
      <c r="T554" s="22"/>
      <c r="U554" s="22"/>
      <c r="V554" s="91"/>
      <c r="X554"/>
      <c r="Y554" s="69"/>
      <c r="Z554"/>
      <c r="AA554" s="33"/>
    </row>
    <row r="555" spans="1:27" s="73" customFormat="1" hidden="1">
      <c r="A555" s="79">
        <v>486</v>
      </c>
      <c r="B555" s="92" t="s">
        <v>12</v>
      </c>
      <c r="C555" s="92">
        <v>2</v>
      </c>
      <c r="D555" s="92" t="s">
        <v>23</v>
      </c>
      <c r="E555" s="92" t="s">
        <v>26</v>
      </c>
      <c r="F555" s="92">
        <v>28</v>
      </c>
      <c r="G555" s="87" t="s">
        <v>69</v>
      </c>
      <c r="H555" s="93">
        <v>6.5</v>
      </c>
      <c r="I555" s="4">
        <v>106</v>
      </c>
      <c r="J555" s="4">
        <v>40</v>
      </c>
      <c r="K555" s="103">
        <v>6.5</v>
      </c>
      <c r="L555" s="93"/>
      <c r="M555" s="114" t="s">
        <v>115</v>
      </c>
      <c r="N555" s="88" t="s">
        <v>146</v>
      </c>
      <c r="O555" s="89">
        <v>43847</v>
      </c>
      <c r="P555" s="92" t="s">
        <v>64</v>
      </c>
      <c r="Q555" s="78" t="s">
        <v>42</v>
      </c>
      <c r="R555" s="163"/>
      <c r="S555" s="104"/>
      <c r="T555" s="22"/>
      <c r="U555" s="22"/>
      <c r="V555" s="91"/>
      <c r="X555"/>
      <c r="Y555" s="69"/>
      <c r="Z555"/>
      <c r="AA555" s="33"/>
    </row>
    <row r="556" spans="1:27" s="73" customFormat="1" hidden="1">
      <c r="A556" s="79">
        <v>487</v>
      </c>
      <c r="B556" s="92" t="s">
        <v>12</v>
      </c>
      <c r="C556" s="92">
        <v>2</v>
      </c>
      <c r="D556" s="92" t="s">
        <v>231</v>
      </c>
      <c r="E556" s="92" t="s">
        <v>26</v>
      </c>
      <c r="F556" s="92">
        <v>36</v>
      </c>
      <c r="G556" s="87" t="s">
        <v>68</v>
      </c>
      <c r="H556" s="93">
        <v>0.7</v>
      </c>
      <c r="I556" s="4">
        <v>14</v>
      </c>
      <c r="J556" s="4">
        <v>5</v>
      </c>
      <c r="K556" s="103">
        <v>0.7</v>
      </c>
      <c r="L556" s="93"/>
      <c r="M556" s="114" t="s">
        <v>115</v>
      </c>
      <c r="N556" s="88" t="s">
        <v>146</v>
      </c>
      <c r="O556" s="89">
        <v>43847</v>
      </c>
      <c r="P556" s="92" t="s">
        <v>64</v>
      </c>
      <c r="Q556" s="78" t="s">
        <v>42</v>
      </c>
      <c r="R556" s="163"/>
      <c r="S556" s="104"/>
      <c r="T556" s="22"/>
      <c r="U556" s="22"/>
      <c r="V556" s="91"/>
      <c r="X556"/>
      <c r="Y556" s="69"/>
      <c r="Z556"/>
      <c r="AA556" s="33"/>
    </row>
    <row r="557" spans="1:27" s="73" customFormat="1" hidden="1">
      <c r="A557" s="79">
        <v>488</v>
      </c>
      <c r="B557" s="92" t="s">
        <v>12</v>
      </c>
      <c r="C557" s="92">
        <v>2</v>
      </c>
      <c r="D557" s="92" t="s">
        <v>23</v>
      </c>
      <c r="E557" s="92" t="s">
        <v>26</v>
      </c>
      <c r="F557" s="92">
        <v>43</v>
      </c>
      <c r="G557" s="87" t="s">
        <v>78</v>
      </c>
      <c r="H557" s="93">
        <v>5.5</v>
      </c>
      <c r="I557" s="4">
        <v>190</v>
      </c>
      <c r="J557" s="4">
        <v>101</v>
      </c>
      <c r="K557" s="103">
        <v>5.5</v>
      </c>
      <c r="L557" s="93"/>
      <c r="M557" s="114" t="s">
        <v>115</v>
      </c>
      <c r="N557" s="88" t="s">
        <v>146</v>
      </c>
      <c r="O557" s="89">
        <v>43847</v>
      </c>
      <c r="P557" s="92" t="s">
        <v>64</v>
      </c>
      <c r="Q557" s="78" t="s">
        <v>42</v>
      </c>
      <c r="R557" s="163"/>
      <c r="S557" s="104"/>
      <c r="T557" s="22"/>
      <c r="U557" s="22"/>
      <c r="V557" s="91"/>
      <c r="X557"/>
      <c r="Y557" s="69"/>
      <c r="Z557"/>
      <c r="AA557" s="33"/>
    </row>
    <row r="558" spans="1:27" s="73" customFormat="1" hidden="1">
      <c r="A558" s="79">
        <v>489</v>
      </c>
      <c r="B558" s="92" t="s">
        <v>12</v>
      </c>
      <c r="C558" s="92">
        <v>2</v>
      </c>
      <c r="D558" s="92" t="s">
        <v>23</v>
      </c>
      <c r="E558" s="92" t="s">
        <v>26</v>
      </c>
      <c r="F558" s="92">
        <v>44</v>
      </c>
      <c r="G558" s="87" t="s">
        <v>85</v>
      </c>
      <c r="H558" s="93">
        <v>5.5</v>
      </c>
      <c r="I558" s="4">
        <v>153</v>
      </c>
      <c r="J558" s="4">
        <v>64</v>
      </c>
      <c r="K558" s="103">
        <v>5.5</v>
      </c>
      <c r="L558" s="93"/>
      <c r="M558" s="114" t="s">
        <v>115</v>
      </c>
      <c r="N558" s="88" t="s">
        <v>146</v>
      </c>
      <c r="O558" s="89">
        <v>43847</v>
      </c>
      <c r="P558" s="92" t="s">
        <v>64</v>
      </c>
      <c r="Q558" s="78" t="s">
        <v>42</v>
      </c>
      <c r="R558" s="163"/>
      <c r="S558" s="104"/>
      <c r="T558" s="22"/>
      <c r="U558" s="22"/>
      <c r="V558" s="91"/>
      <c r="X558"/>
      <c r="Y558" s="69"/>
      <c r="Z558"/>
      <c r="AA558" s="33"/>
    </row>
    <row r="559" spans="1:27" s="73" customFormat="1" hidden="1">
      <c r="A559" s="79">
        <v>490</v>
      </c>
      <c r="B559" s="92" t="s">
        <v>12</v>
      </c>
      <c r="C559" s="92">
        <v>2</v>
      </c>
      <c r="D559" s="92" t="s">
        <v>23</v>
      </c>
      <c r="E559" s="92" t="s">
        <v>26</v>
      </c>
      <c r="F559" s="92">
        <v>27</v>
      </c>
      <c r="G559" s="87" t="s">
        <v>67</v>
      </c>
      <c r="H559" s="93">
        <v>1.7</v>
      </c>
      <c r="I559" s="4">
        <v>29</v>
      </c>
      <c r="J559" s="4"/>
      <c r="K559" s="103">
        <v>1.7</v>
      </c>
      <c r="L559" s="93"/>
      <c r="M559" s="114" t="s">
        <v>115</v>
      </c>
      <c r="N559" s="88" t="s">
        <v>146</v>
      </c>
      <c r="O559" s="89">
        <v>43847</v>
      </c>
      <c r="P559" s="92" t="s">
        <v>64</v>
      </c>
      <c r="Q559" s="78" t="s">
        <v>42</v>
      </c>
      <c r="R559" s="163"/>
      <c r="S559" s="104"/>
      <c r="T559" s="22"/>
      <c r="U559" s="22"/>
      <c r="V559" s="91"/>
      <c r="X559"/>
      <c r="Y559" s="69"/>
      <c r="Z559"/>
      <c r="AA559" s="33"/>
    </row>
    <row r="560" spans="1:27" s="73" customFormat="1" hidden="1">
      <c r="A560" s="79">
        <v>491</v>
      </c>
      <c r="B560" s="92" t="s">
        <v>12</v>
      </c>
      <c r="C560" s="92">
        <v>2</v>
      </c>
      <c r="D560" s="92" t="s">
        <v>24</v>
      </c>
      <c r="E560" s="92" t="s">
        <v>26</v>
      </c>
      <c r="F560" s="92">
        <v>10</v>
      </c>
      <c r="G560" s="87" t="s">
        <v>82</v>
      </c>
      <c r="H560" s="93">
        <v>0.5</v>
      </c>
      <c r="I560" s="4">
        <v>6</v>
      </c>
      <c r="J560" s="4">
        <v>6</v>
      </c>
      <c r="K560" s="103">
        <v>0.5</v>
      </c>
      <c r="L560" s="93"/>
      <c r="M560" s="114" t="s">
        <v>115</v>
      </c>
      <c r="N560" s="88" t="s">
        <v>232</v>
      </c>
      <c r="O560" s="89">
        <v>43847</v>
      </c>
      <c r="P560" s="92" t="s">
        <v>64</v>
      </c>
      <c r="Q560" s="78" t="s">
        <v>44</v>
      </c>
      <c r="R560" s="163"/>
      <c r="S560" s="104"/>
      <c r="T560" s="22"/>
      <c r="U560" s="22"/>
      <c r="V560" s="91"/>
      <c r="X560"/>
      <c r="Y560" s="69"/>
      <c r="Z560"/>
      <c r="AA560" s="33"/>
    </row>
    <row r="561" spans="1:27" s="73" customFormat="1" hidden="1">
      <c r="A561" s="79">
        <v>492</v>
      </c>
      <c r="B561" s="92" t="s">
        <v>12</v>
      </c>
      <c r="C561" s="92">
        <v>2</v>
      </c>
      <c r="D561" s="92" t="s">
        <v>24</v>
      </c>
      <c r="E561" s="92" t="s">
        <v>26</v>
      </c>
      <c r="F561" s="92">
        <v>19</v>
      </c>
      <c r="G561" s="87" t="s">
        <v>71</v>
      </c>
      <c r="H561" s="93">
        <v>4.2</v>
      </c>
      <c r="I561" s="4">
        <v>65</v>
      </c>
      <c r="J561" s="4">
        <v>65</v>
      </c>
      <c r="K561" s="103">
        <v>4.2</v>
      </c>
      <c r="L561" s="93"/>
      <c r="M561" s="114" t="s">
        <v>115</v>
      </c>
      <c r="N561" s="88" t="s">
        <v>232</v>
      </c>
      <c r="O561" s="89">
        <v>43847</v>
      </c>
      <c r="P561" s="92" t="s">
        <v>64</v>
      </c>
      <c r="Q561" s="78" t="s">
        <v>44</v>
      </c>
      <c r="R561" s="163"/>
      <c r="S561" s="104"/>
      <c r="T561" s="22"/>
      <c r="U561" s="22"/>
      <c r="V561" s="91"/>
      <c r="X561"/>
      <c r="Y561" s="69"/>
      <c r="Z561"/>
      <c r="AA561" s="33"/>
    </row>
    <row r="562" spans="1:27" s="73" customFormat="1" hidden="1">
      <c r="A562" s="79">
        <v>493</v>
      </c>
      <c r="B562" s="92" t="s">
        <v>12</v>
      </c>
      <c r="C562" s="92">
        <v>2</v>
      </c>
      <c r="D562" s="92" t="s">
        <v>24</v>
      </c>
      <c r="E562" s="92" t="s">
        <v>26</v>
      </c>
      <c r="F562" s="92">
        <v>27</v>
      </c>
      <c r="G562" s="87" t="s">
        <v>89</v>
      </c>
      <c r="H562" s="93">
        <v>1.2</v>
      </c>
      <c r="I562" s="4">
        <v>16</v>
      </c>
      <c r="J562" s="4">
        <v>16</v>
      </c>
      <c r="K562" s="103">
        <v>1.2</v>
      </c>
      <c r="L562" s="93"/>
      <c r="M562" s="114" t="s">
        <v>115</v>
      </c>
      <c r="N562" s="88" t="s">
        <v>232</v>
      </c>
      <c r="O562" s="89">
        <v>43847</v>
      </c>
      <c r="P562" s="92" t="s">
        <v>64</v>
      </c>
      <c r="Q562" s="78" t="s">
        <v>42</v>
      </c>
      <c r="R562" s="163"/>
      <c r="S562" s="104"/>
      <c r="T562" s="22"/>
      <c r="U562" s="22"/>
      <c r="V562" s="91"/>
      <c r="X562"/>
      <c r="Y562" s="69"/>
      <c r="Z562"/>
      <c r="AA562" s="33"/>
    </row>
    <row r="563" spans="1:27" s="73" customFormat="1" hidden="1">
      <c r="A563" s="79">
        <v>494</v>
      </c>
      <c r="B563" s="92" t="s">
        <v>12</v>
      </c>
      <c r="C563" s="92">
        <v>2</v>
      </c>
      <c r="D563" s="92" t="s">
        <v>24</v>
      </c>
      <c r="E563" s="92" t="s">
        <v>26</v>
      </c>
      <c r="F563" s="92">
        <v>27</v>
      </c>
      <c r="G563" s="87" t="s">
        <v>69</v>
      </c>
      <c r="H563" s="93">
        <v>1.7</v>
      </c>
      <c r="I563" s="4">
        <v>28</v>
      </c>
      <c r="J563" s="4">
        <v>28</v>
      </c>
      <c r="K563" s="103">
        <v>1.7</v>
      </c>
      <c r="L563" s="93"/>
      <c r="M563" s="114" t="s">
        <v>115</v>
      </c>
      <c r="N563" s="88" t="s">
        <v>232</v>
      </c>
      <c r="O563" s="89">
        <v>43847</v>
      </c>
      <c r="P563" s="92" t="s">
        <v>64</v>
      </c>
      <c r="Q563" s="78" t="s">
        <v>42</v>
      </c>
      <c r="R563" s="163"/>
      <c r="S563" s="104"/>
      <c r="T563" s="22"/>
      <c r="U563" s="22"/>
      <c r="V563" s="91"/>
      <c r="X563"/>
      <c r="Y563" s="69"/>
      <c r="Z563"/>
      <c r="AA563" s="33"/>
    </row>
    <row r="564" spans="1:27" s="69" customFormat="1" hidden="1">
      <c r="A564" s="79">
        <v>495</v>
      </c>
      <c r="B564" s="92" t="s">
        <v>12</v>
      </c>
      <c r="C564" s="92">
        <v>2</v>
      </c>
      <c r="D564" s="92" t="s">
        <v>24</v>
      </c>
      <c r="E564" s="92" t="s">
        <v>26</v>
      </c>
      <c r="F564" s="92">
        <v>37</v>
      </c>
      <c r="G564" s="87" t="s">
        <v>72</v>
      </c>
      <c r="H564" s="93">
        <v>3.2</v>
      </c>
      <c r="I564" s="4">
        <v>120</v>
      </c>
      <c r="J564" s="4">
        <v>107</v>
      </c>
      <c r="K564" s="103">
        <v>3.2</v>
      </c>
      <c r="L564" s="93"/>
      <c r="M564" s="114" t="s">
        <v>115</v>
      </c>
      <c r="N564" s="88" t="s">
        <v>232</v>
      </c>
      <c r="O564" s="89">
        <v>43847</v>
      </c>
      <c r="P564" s="92" t="s">
        <v>64</v>
      </c>
      <c r="Q564" s="78" t="s">
        <v>42</v>
      </c>
      <c r="R564" s="163"/>
      <c r="S564" s="104"/>
      <c r="T564" s="22"/>
      <c r="U564" s="22"/>
      <c r="V564" s="91"/>
      <c r="W564" s="73"/>
      <c r="X564"/>
      <c r="Z564"/>
      <c r="AA564" s="33"/>
    </row>
    <row r="565" spans="1:27" s="69" customFormat="1" hidden="1">
      <c r="A565" s="79">
        <v>496</v>
      </c>
      <c r="B565" s="92" t="s">
        <v>12</v>
      </c>
      <c r="C565" s="92">
        <v>2</v>
      </c>
      <c r="D565" s="92" t="s">
        <v>24</v>
      </c>
      <c r="E565" s="92" t="s">
        <v>128</v>
      </c>
      <c r="F565" s="92">
        <v>26</v>
      </c>
      <c r="G565" s="87" t="s">
        <v>67</v>
      </c>
      <c r="H565" s="93">
        <v>5.5</v>
      </c>
      <c r="I565" s="4">
        <v>191</v>
      </c>
      <c r="J565" s="4">
        <v>181</v>
      </c>
      <c r="K565" s="103">
        <v>5.5</v>
      </c>
      <c r="L565" s="93"/>
      <c r="M565" s="114" t="s">
        <v>115</v>
      </c>
      <c r="N565" s="88" t="s">
        <v>232</v>
      </c>
      <c r="O565" s="89">
        <v>43847</v>
      </c>
      <c r="P565" s="92" t="s">
        <v>64</v>
      </c>
      <c r="Q565" s="78" t="s">
        <v>44</v>
      </c>
      <c r="R565" s="163"/>
      <c r="S565" s="104"/>
      <c r="T565" s="22"/>
      <c r="U565" s="22"/>
      <c r="V565" s="91"/>
      <c r="W565" s="73"/>
      <c r="X565"/>
      <c r="Z565"/>
      <c r="AA565" s="33"/>
    </row>
    <row r="566" spans="1:27" s="69" customFormat="1" hidden="1">
      <c r="A566" s="79">
        <v>497</v>
      </c>
      <c r="B566" s="92" t="s">
        <v>12</v>
      </c>
      <c r="C566" s="92">
        <v>2</v>
      </c>
      <c r="D566" s="92" t="s">
        <v>22</v>
      </c>
      <c r="E566" s="92" t="s">
        <v>129</v>
      </c>
      <c r="F566" s="92">
        <v>10</v>
      </c>
      <c r="G566" s="87" t="s">
        <v>67</v>
      </c>
      <c r="H566" s="93">
        <v>2.2000000000000002</v>
      </c>
      <c r="I566" s="4">
        <v>70</v>
      </c>
      <c r="J566" s="4">
        <f>60+1</f>
        <v>61</v>
      </c>
      <c r="K566" s="103">
        <v>2.2000000000000002</v>
      </c>
      <c r="L566" s="93"/>
      <c r="M566" s="114" t="s">
        <v>115</v>
      </c>
      <c r="N566" s="88" t="s">
        <v>234</v>
      </c>
      <c r="O566" s="89">
        <v>43847</v>
      </c>
      <c r="P566" s="92" t="s">
        <v>64</v>
      </c>
      <c r="Q566" s="78" t="s">
        <v>44</v>
      </c>
      <c r="R566" s="163">
        <v>1533</v>
      </c>
      <c r="S566" s="104"/>
      <c r="T566" s="22"/>
      <c r="U566" s="22"/>
      <c r="V566" s="91"/>
      <c r="W566" s="73"/>
      <c r="X566"/>
      <c r="Z566"/>
      <c r="AA566" s="33"/>
    </row>
    <row r="567" spans="1:27" s="69" customFormat="1" hidden="1">
      <c r="A567" s="79">
        <v>498</v>
      </c>
      <c r="B567" s="92" t="s">
        <v>12</v>
      </c>
      <c r="C567" s="92">
        <v>2</v>
      </c>
      <c r="D567" s="92" t="s">
        <v>22</v>
      </c>
      <c r="E567" s="92" t="s">
        <v>26</v>
      </c>
      <c r="F567" s="92">
        <v>15</v>
      </c>
      <c r="G567" s="87" t="s">
        <v>72</v>
      </c>
      <c r="H567" s="93">
        <v>4.2</v>
      </c>
      <c r="I567" s="4">
        <v>225</v>
      </c>
      <c r="J567" s="4">
        <f>189+8</f>
        <v>197</v>
      </c>
      <c r="K567" s="103">
        <v>4.2</v>
      </c>
      <c r="L567" s="93"/>
      <c r="M567" s="114" t="s">
        <v>115</v>
      </c>
      <c r="N567" s="88" t="s">
        <v>233</v>
      </c>
      <c r="O567" s="89">
        <v>43847</v>
      </c>
      <c r="P567" s="92" t="s">
        <v>64</v>
      </c>
      <c r="Q567" s="78" t="s">
        <v>42</v>
      </c>
      <c r="R567" s="163">
        <v>10184</v>
      </c>
      <c r="S567" s="104"/>
      <c r="T567" s="22"/>
      <c r="U567" s="22"/>
      <c r="V567" s="91"/>
      <c r="W567" s="73"/>
      <c r="X567"/>
      <c r="Z567"/>
      <c r="AA567" s="33"/>
    </row>
    <row r="568" spans="1:27" s="69" customFormat="1" ht="30" hidden="1">
      <c r="A568" s="79">
        <v>499</v>
      </c>
      <c r="B568" s="92" t="s">
        <v>12</v>
      </c>
      <c r="C568" s="92">
        <v>2</v>
      </c>
      <c r="D568" s="92" t="s">
        <v>32</v>
      </c>
      <c r="E568" s="92" t="s">
        <v>26</v>
      </c>
      <c r="F568" s="92">
        <v>43</v>
      </c>
      <c r="G568" s="87" t="s">
        <v>84</v>
      </c>
      <c r="H568" s="93">
        <v>1.4</v>
      </c>
      <c r="I568" s="4">
        <v>26</v>
      </c>
      <c r="J568" s="4">
        <v>23</v>
      </c>
      <c r="K568" s="103">
        <v>1.4</v>
      </c>
      <c r="L568" s="93"/>
      <c r="M568" s="114" t="s">
        <v>115</v>
      </c>
      <c r="N568" s="88" t="s">
        <v>235</v>
      </c>
      <c r="O568" s="89">
        <v>43847</v>
      </c>
      <c r="P568" s="92" t="s">
        <v>64</v>
      </c>
      <c r="Q568" s="78" t="s">
        <v>42</v>
      </c>
      <c r="R568" s="163">
        <v>125</v>
      </c>
      <c r="S568" s="104"/>
      <c r="T568" s="22"/>
      <c r="U568" s="22"/>
      <c r="V568" s="91"/>
      <c r="W568" s="73"/>
      <c r="X568"/>
      <c r="Z568"/>
      <c r="AA568" s="33"/>
    </row>
    <row r="569" spans="1:27" s="69" customFormat="1" ht="30" hidden="1">
      <c r="A569" s="79">
        <v>500</v>
      </c>
      <c r="B569" s="92" t="s">
        <v>12</v>
      </c>
      <c r="C569" s="92">
        <v>2</v>
      </c>
      <c r="D569" s="92" t="s">
        <v>32</v>
      </c>
      <c r="E569" s="92" t="s">
        <v>129</v>
      </c>
      <c r="F569" s="92">
        <v>5</v>
      </c>
      <c r="G569" s="87" t="s">
        <v>69</v>
      </c>
      <c r="H569" s="93">
        <v>3</v>
      </c>
      <c r="I569" s="4">
        <v>75</v>
      </c>
      <c r="J569" s="4">
        <v>58</v>
      </c>
      <c r="K569" s="103">
        <v>3</v>
      </c>
      <c r="L569" s="93"/>
      <c r="M569" s="114" t="s">
        <v>115</v>
      </c>
      <c r="N569" s="88" t="s">
        <v>235</v>
      </c>
      <c r="O569" s="89">
        <v>43847</v>
      </c>
      <c r="P569" s="92" t="s">
        <v>64</v>
      </c>
      <c r="Q569" s="78" t="s">
        <v>44</v>
      </c>
      <c r="R569" s="163">
        <v>265</v>
      </c>
      <c r="S569" s="104"/>
      <c r="T569" s="22"/>
      <c r="U569" s="22"/>
      <c r="V569" s="91"/>
      <c r="W569" s="73"/>
      <c r="X569"/>
      <c r="Z569"/>
      <c r="AA569" s="33"/>
    </row>
    <row r="570" spans="1:27" s="69" customFormat="1" ht="30" hidden="1">
      <c r="A570" s="79">
        <v>501</v>
      </c>
      <c r="B570" s="92" t="s">
        <v>12</v>
      </c>
      <c r="C570" s="92">
        <v>2</v>
      </c>
      <c r="D570" s="92" t="s">
        <v>32</v>
      </c>
      <c r="E570" s="92" t="s">
        <v>26</v>
      </c>
      <c r="F570" s="92">
        <v>61</v>
      </c>
      <c r="G570" s="87" t="s">
        <v>71</v>
      </c>
      <c r="H570" s="93">
        <v>11.3</v>
      </c>
      <c r="I570" s="4">
        <v>182</v>
      </c>
      <c r="J570" s="4">
        <f>161+8</f>
        <v>169</v>
      </c>
      <c r="K570" s="103">
        <v>11.3</v>
      </c>
      <c r="L570" s="93"/>
      <c r="M570" s="114" t="s">
        <v>115</v>
      </c>
      <c r="N570" s="88" t="s">
        <v>235</v>
      </c>
      <c r="O570" s="89">
        <v>43847</v>
      </c>
      <c r="P570" s="92" t="s">
        <v>66</v>
      </c>
      <c r="Q570" s="78" t="s">
        <v>60</v>
      </c>
      <c r="R570" s="163">
        <v>1644</v>
      </c>
      <c r="S570" s="104"/>
      <c r="T570" s="22"/>
      <c r="U570" s="22"/>
      <c r="V570" s="91"/>
      <c r="W570" s="73"/>
      <c r="X570">
        <f>879+825+362+537+718+765+491+1147+993+1367+701+427+605</f>
        <v>9817</v>
      </c>
      <c r="Z570"/>
      <c r="AA570" s="33"/>
    </row>
    <row r="571" spans="1:27" s="69" customFormat="1" ht="30" hidden="1">
      <c r="A571" s="79">
        <v>502</v>
      </c>
      <c r="B571" s="92" t="s">
        <v>12</v>
      </c>
      <c r="C571" s="92">
        <v>2</v>
      </c>
      <c r="D571" s="92" t="s">
        <v>32</v>
      </c>
      <c r="E571" s="92" t="s">
        <v>26</v>
      </c>
      <c r="F571" s="92">
        <v>68</v>
      </c>
      <c r="G571" s="87" t="s">
        <v>71</v>
      </c>
      <c r="H571" s="93">
        <v>3.9</v>
      </c>
      <c r="I571" s="4">
        <v>112</v>
      </c>
      <c r="J571" s="4">
        <f>99+6</f>
        <v>105</v>
      </c>
      <c r="K571" s="103">
        <v>3.9</v>
      </c>
      <c r="L571" s="93"/>
      <c r="M571" s="114" t="s">
        <v>115</v>
      </c>
      <c r="N571" s="88" t="s">
        <v>235</v>
      </c>
      <c r="O571" s="89">
        <v>43847</v>
      </c>
      <c r="P571" s="92" t="s">
        <v>66</v>
      </c>
      <c r="Q571" s="78" t="s">
        <v>60</v>
      </c>
      <c r="R571" s="163">
        <v>1493</v>
      </c>
      <c r="S571" s="104"/>
      <c r="T571" s="22"/>
      <c r="U571" s="22"/>
      <c r="V571" s="91"/>
      <c r="W571" s="73"/>
      <c r="X571"/>
      <c r="Z571"/>
      <c r="AA571" s="33"/>
    </row>
    <row r="572" spans="1:27" s="69" customFormat="1" ht="30" hidden="1">
      <c r="A572" s="79">
        <v>503</v>
      </c>
      <c r="B572" s="92" t="s">
        <v>12</v>
      </c>
      <c r="C572" s="92">
        <v>2</v>
      </c>
      <c r="D572" s="92" t="s">
        <v>32</v>
      </c>
      <c r="E572" s="92" t="s">
        <v>26</v>
      </c>
      <c r="F572" s="92">
        <v>68</v>
      </c>
      <c r="G572" s="87" t="s">
        <v>67</v>
      </c>
      <c r="H572" s="93">
        <v>13.5</v>
      </c>
      <c r="I572" s="4">
        <v>282</v>
      </c>
      <c r="J572" s="4">
        <f>239+11</f>
        <v>250</v>
      </c>
      <c r="K572" s="103">
        <v>13.5</v>
      </c>
      <c r="L572" s="93"/>
      <c r="M572" s="114" t="s">
        <v>115</v>
      </c>
      <c r="N572" s="88" t="s">
        <v>235</v>
      </c>
      <c r="O572" s="89">
        <v>43847</v>
      </c>
      <c r="P572" s="92" t="s">
        <v>66</v>
      </c>
      <c r="Q572" s="78" t="s">
        <v>60</v>
      </c>
      <c r="R572" s="163">
        <v>2067</v>
      </c>
      <c r="S572" s="104"/>
      <c r="T572" s="22"/>
      <c r="U572" s="22"/>
      <c r="V572" s="91"/>
      <c r="W572" s="73"/>
      <c r="X572"/>
      <c r="Z572"/>
      <c r="AA572" s="33"/>
    </row>
    <row r="573" spans="1:27" s="69" customFormat="1" ht="30" hidden="1">
      <c r="A573" s="79">
        <v>504</v>
      </c>
      <c r="B573" s="112" t="s">
        <v>12</v>
      </c>
      <c r="C573" s="92">
        <v>2</v>
      </c>
      <c r="D573" s="112" t="s">
        <v>281</v>
      </c>
      <c r="E573" s="102" t="s">
        <v>26</v>
      </c>
      <c r="F573" s="112">
        <v>29</v>
      </c>
      <c r="G573" s="113" t="s">
        <v>71</v>
      </c>
      <c r="H573" s="101">
        <v>15.2</v>
      </c>
      <c r="I573" s="11">
        <v>100</v>
      </c>
      <c r="J573" s="11">
        <v>90</v>
      </c>
      <c r="K573" s="11">
        <v>15.2</v>
      </c>
      <c r="L573" s="101"/>
      <c r="M573" s="120" t="s">
        <v>115</v>
      </c>
      <c r="N573" s="23" t="s">
        <v>314</v>
      </c>
      <c r="O573" s="27">
        <v>43888</v>
      </c>
      <c r="P573" s="102" t="s">
        <v>64</v>
      </c>
      <c r="Q573" s="78" t="s">
        <v>42</v>
      </c>
      <c r="R573" s="163">
        <v>3006</v>
      </c>
      <c r="S573" s="104"/>
      <c r="T573" s="22"/>
      <c r="U573" s="22"/>
      <c r="V573" s="111"/>
      <c r="W573" s="73"/>
      <c r="X573"/>
      <c r="Z573"/>
      <c r="AA573" s="33"/>
    </row>
    <row r="574" spans="1:27" s="69" customFormat="1">
      <c r="A574" s="129"/>
      <c r="B574" s="453" t="s">
        <v>12</v>
      </c>
      <c r="C574" s="453"/>
      <c r="D574" s="112" t="s">
        <v>286</v>
      </c>
      <c r="E574" s="102"/>
      <c r="F574" s="112"/>
      <c r="G574" s="113"/>
      <c r="H574" s="101"/>
      <c r="I574" s="11"/>
      <c r="J574" s="163">
        <f>J567</f>
        <v>197</v>
      </c>
      <c r="K574" s="11"/>
      <c r="L574" s="101"/>
      <c r="M574" s="120"/>
      <c r="N574" s="23"/>
      <c r="O574" s="27"/>
      <c r="P574" s="102" t="s">
        <v>64</v>
      </c>
      <c r="Q574" s="78" t="s">
        <v>42</v>
      </c>
      <c r="R574" s="163">
        <f>R567</f>
        <v>10184</v>
      </c>
      <c r="S574" s="104"/>
      <c r="T574" s="22"/>
      <c r="U574" s="22"/>
      <c r="V574" s="95"/>
      <c r="W574" s="73"/>
      <c r="X574"/>
      <c r="Z574"/>
      <c r="AA574" s="33"/>
    </row>
    <row r="575" spans="1:27" s="69" customFormat="1">
      <c r="A575" s="129"/>
      <c r="B575" s="453"/>
      <c r="C575" s="453"/>
      <c r="D575" s="112"/>
      <c r="E575" s="102"/>
      <c r="F575" s="112"/>
      <c r="G575" s="113"/>
      <c r="H575" s="101"/>
      <c r="I575" s="11"/>
      <c r="J575" s="163">
        <f>J566</f>
        <v>61</v>
      </c>
      <c r="K575" s="11"/>
      <c r="L575" s="101"/>
      <c r="M575" s="120"/>
      <c r="N575" s="23"/>
      <c r="O575" s="27"/>
      <c r="P575" s="102" t="s">
        <v>64</v>
      </c>
      <c r="Q575" s="78" t="s">
        <v>44</v>
      </c>
      <c r="R575" s="163">
        <f>R566</f>
        <v>1533</v>
      </c>
      <c r="S575" s="104"/>
      <c r="T575" s="22"/>
      <c r="U575" s="22"/>
      <c r="V575" s="95"/>
      <c r="W575" s="73"/>
      <c r="X575"/>
      <c r="Z575"/>
      <c r="AA575" s="33"/>
    </row>
    <row r="576" spans="1:27" s="69" customFormat="1">
      <c r="A576" s="129"/>
      <c r="B576" s="453"/>
      <c r="C576" s="453"/>
      <c r="D576" s="112" t="s">
        <v>284</v>
      </c>
      <c r="E576" s="102"/>
      <c r="F576" s="112"/>
      <c r="G576" s="113"/>
      <c r="H576" s="101"/>
      <c r="I576" s="11"/>
      <c r="J576" s="163">
        <f>J568</f>
        <v>23</v>
      </c>
      <c r="K576" s="11"/>
      <c r="L576" s="101"/>
      <c r="M576" s="120"/>
      <c r="N576" s="23"/>
      <c r="O576" s="27"/>
      <c r="P576" s="102" t="s">
        <v>64</v>
      </c>
      <c r="Q576" s="78" t="s">
        <v>42</v>
      </c>
      <c r="R576" s="163">
        <f>R568</f>
        <v>125</v>
      </c>
      <c r="S576" s="104"/>
      <c r="T576" s="22"/>
      <c r="U576" s="22"/>
      <c r="V576" s="95"/>
      <c r="W576" s="73"/>
      <c r="X576"/>
      <c r="Z576"/>
      <c r="AA576" s="33"/>
    </row>
    <row r="577" spans="1:27" s="69" customFormat="1">
      <c r="A577" s="129"/>
      <c r="B577" s="453"/>
      <c r="C577" s="453"/>
      <c r="D577" s="112"/>
      <c r="E577" s="102"/>
      <c r="F577" s="112"/>
      <c r="G577" s="113"/>
      <c r="H577" s="101"/>
      <c r="I577" s="11"/>
      <c r="J577" s="163">
        <f>J569</f>
        <v>58</v>
      </c>
      <c r="K577" s="11"/>
      <c r="L577" s="101"/>
      <c r="M577" s="120"/>
      <c r="N577" s="23"/>
      <c r="O577" s="27"/>
      <c r="P577" s="102" t="s">
        <v>64</v>
      </c>
      <c r="Q577" s="78" t="s">
        <v>44</v>
      </c>
      <c r="R577" s="163">
        <f>R569</f>
        <v>265</v>
      </c>
      <c r="S577" s="104"/>
      <c r="T577" s="22"/>
      <c r="U577" s="22"/>
      <c r="V577" s="95"/>
      <c r="W577" s="73"/>
      <c r="X577"/>
      <c r="Z577"/>
      <c r="AA577" s="33"/>
    </row>
    <row r="578" spans="1:27" s="69" customFormat="1">
      <c r="A578" s="129"/>
      <c r="B578" s="453"/>
      <c r="C578" s="453"/>
      <c r="D578" s="112"/>
      <c r="E578" s="102"/>
      <c r="F578" s="112"/>
      <c r="G578" s="113"/>
      <c r="H578" s="101"/>
      <c r="I578" s="11"/>
      <c r="J578" s="163">
        <f>J570+J571+J572</f>
        <v>524</v>
      </c>
      <c r="K578" s="11"/>
      <c r="L578" s="101"/>
      <c r="M578" s="120"/>
      <c r="N578" s="23"/>
      <c r="O578" s="27"/>
      <c r="P578" s="102" t="s">
        <v>66</v>
      </c>
      <c r="Q578" s="78" t="s">
        <v>60</v>
      </c>
      <c r="R578" s="163">
        <f>R570+R571+R572</f>
        <v>5204</v>
      </c>
      <c r="S578" s="104"/>
      <c r="T578" s="22"/>
      <c r="U578" s="22"/>
      <c r="V578" s="95"/>
      <c r="W578" s="73"/>
      <c r="X578"/>
      <c r="Z578"/>
      <c r="AA578" s="33"/>
    </row>
    <row r="579" spans="1:27" s="69" customFormat="1">
      <c r="A579" s="129"/>
      <c r="B579" s="453"/>
      <c r="C579" s="453"/>
      <c r="D579" s="112" t="s">
        <v>318</v>
      </c>
      <c r="E579" s="102"/>
      <c r="F579" s="112"/>
      <c r="G579" s="113"/>
      <c r="H579" s="101"/>
      <c r="I579" s="11"/>
      <c r="J579" s="163">
        <f>J573</f>
        <v>90</v>
      </c>
      <c r="K579" s="11"/>
      <c r="L579" s="101"/>
      <c r="M579" s="120"/>
      <c r="N579" s="23"/>
      <c r="O579" s="27"/>
      <c r="P579" s="102" t="s">
        <v>64</v>
      </c>
      <c r="Q579" s="78" t="s">
        <v>42</v>
      </c>
      <c r="R579" s="163">
        <f>R573</f>
        <v>3006</v>
      </c>
      <c r="S579" s="104"/>
      <c r="T579" s="22"/>
      <c r="U579" s="22"/>
      <c r="V579" s="95"/>
      <c r="W579" s="73"/>
      <c r="X579"/>
      <c r="Z579"/>
      <c r="AA579" s="33"/>
    </row>
    <row r="580" spans="1:27" s="69" customFormat="1">
      <c r="A580" s="129"/>
      <c r="B580" s="147"/>
      <c r="C580" s="94"/>
      <c r="D580" s="147"/>
      <c r="E580" s="94"/>
      <c r="F580" s="147"/>
      <c r="G580" s="47"/>
      <c r="H580" s="130"/>
      <c r="I580" s="130"/>
      <c r="J580" s="130"/>
      <c r="K580" s="135" t="s">
        <v>298</v>
      </c>
      <c r="L580" s="130"/>
      <c r="M580" s="84"/>
      <c r="N580" s="37"/>
      <c r="O580" s="38"/>
      <c r="P580" s="94"/>
      <c r="Q580" s="131"/>
      <c r="R580" s="165">
        <f>SUM(R574:R579)</f>
        <v>20317</v>
      </c>
      <c r="S580" s="132"/>
      <c r="T580" s="22"/>
      <c r="U580" s="22"/>
      <c r="V580" s="95"/>
      <c r="W580" s="73"/>
      <c r="X580"/>
      <c r="Z580"/>
      <c r="AA580" s="33"/>
    </row>
    <row r="581" spans="1:27" s="69" customFormat="1" ht="18" customHeight="1">
      <c r="A581" s="129"/>
      <c r="B581" s="147"/>
      <c r="C581" s="94"/>
      <c r="D581" s="147"/>
      <c r="E581" s="94"/>
      <c r="F581" s="147"/>
      <c r="G581" s="47"/>
      <c r="H581" s="135" t="s">
        <v>299</v>
      </c>
      <c r="I581" s="136" t="s">
        <v>300</v>
      </c>
      <c r="J581" s="136" t="s">
        <v>301</v>
      </c>
      <c r="K581" s="135" t="s">
        <v>302</v>
      </c>
      <c r="L581" s="135" t="s">
        <v>303</v>
      </c>
      <c r="M581" s="84"/>
      <c r="N581" s="37"/>
      <c r="O581" s="38"/>
      <c r="P581" s="94"/>
      <c r="Q581" s="131" t="s">
        <v>334</v>
      </c>
      <c r="R581" s="165">
        <f>12291+5824+61+52+242+208+107+238+2463+1683+1937+8097+209+294</f>
        <v>33706</v>
      </c>
      <c r="S581" s="132"/>
      <c r="T581" s="22"/>
      <c r="U581" s="22"/>
      <c r="V581" s="95"/>
      <c r="W581" s="73"/>
      <c r="X581"/>
      <c r="Z581"/>
      <c r="AA581" s="33"/>
    </row>
    <row r="582" spans="1:27" s="69" customFormat="1" ht="18" customHeight="1">
      <c r="A582" s="129"/>
      <c r="B582" s="147" t="s">
        <v>282</v>
      </c>
      <c r="C582" s="94"/>
      <c r="D582" s="147" t="s">
        <v>283</v>
      </c>
      <c r="E582" s="94"/>
      <c r="F582" s="147"/>
      <c r="G582" s="47"/>
      <c r="H582" s="130">
        <v>87.9</v>
      </c>
      <c r="I582" s="133">
        <v>31541</v>
      </c>
      <c r="J582" s="133">
        <v>28688</v>
      </c>
      <c r="K582" s="130">
        <v>9363</v>
      </c>
      <c r="L582" s="130">
        <v>8602</v>
      </c>
      <c r="M582" s="84"/>
      <c r="N582" s="37"/>
      <c r="O582" s="38"/>
      <c r="P582" s="94"/>
      <c r="Q582" s="131" t="s">
        <v>335</v>
      </c>
      <c r="R582" s="165">
        <f>4367+2716+4123+9432+2827+498+4774+1421</f>
        <v>30158</v>
      </c>
      <c r="S582" s="132"/>
      <c r="T582" s="22"/>
      <c r="U582" s="22"/>
      <c r="V582" s="95"/>
      <c r="W582" s="73"/>
      <c r="X582"/>
      <c r="Z582"/>
      <c r="AA582" s="33"/>
    </row>
    <row r="583" spans="1:27" s="69" customFormat="1" ht="18" customHeight="1">
      <c r="A583" s="129"/>
      <c r="B583" s="147"/>
      <c r="C583" s="94"/>
      <c r="D583" s="147" t="s">
        <v>284</v>
      </c>
      <c r="E583" s="94"/>
      <c r="F583" s="147"/>
      <c r="G583" s="47"/>
      <c r="H583" s="130">
        <v>548.5</v>
      </c>
      <c r="I583" s="41">
        <v>12146</v>
      </c>
      <c r="J583" s="41">
        <v>9817</v>
      </c>
      <c r="K583" s="133">
        <f>23568-12146</f>
        <v>11422</v>
      </c>
      <c r="L583" s="133">
        <f>18941-9817</f>
        <v>9124</v>
      </c>
      <c r="M583" s="84"/>
      <c r="N583" s="37"/>
      <c r="O583" s="38"/>
      <c r="P583" s="94"/>
      <c r="Q583" s="131" t="s">
        <v>245</v>
      </c>
      <c r="R583" s="165">
        <f>40908+19493+2867+1148+1041</f>
        <v>65457</v>
      </c>
      <c r="S583" s="132"/>
      <c r="T583" s="22"/>
      <c r="U583" s="22"/>
      <c r="V583" s="95"/>
      <c r="W583" s="73"/>
      <c r="X583"/>
      <c r="Z583"/>
      <c r="AA583" s="33"/>
    </row>
    <row r="584" spans="1:27" s="69" customFormat="1" ht="18" customHeight="1">
      <c r="A584" s="129"/>
      <c r="B584" s="147"/>
      <c r="C584" s="94"/>
      <c r="D584" s="147" t="s">
        <v>285</v>
      </c>
      <c r="E584" s="94"/>
      <c r="F584" s="147"/>
      <c r="G584" s="47"/>
      <c r="H584" s="130">
        <v>5.6</v>
      </c>
      <c r="I584" s="41">
        <v>1511</v>
      </c>
      <c r="J584" s="41">
        <v>1308</v>
      </c>
      <c r="K584" s="133">
        <f>SUM(K582:K583)</f>
        <v>20785</v>
      </c>
      <c r="L584" s="133">
        <f>SUM(L582:L583)</f>
        <v>17726</v>
      </c>
      <c r="M584" s="84"/>
      <c r="N584" s="37"/>
      <c r="O584" s="38"/>
      <c r="P584" s="94"/>
      <c r="Q584" s="131" t="s">
        <v>336</v>
      </c>
      <c r="R584" s="165">
        <f>10276+9702+2273+299+1460+140+3280+1946+2008+15+8+46+38+18+45+8+715</f>
        <v>32277</v>
      </c>
      <c r="S584" s="132"/>
      <c r="T584" s="22"/>
      <c r="U584" s="22"/>
      <c r="V584" s="95"/>
      <c r="W584" s="73"/>
      <c r="X584"/>
      <c r="Z584"/>
      <c r="AA584" s="33"/>
    </row>
    <row r="585" spans="1:27" s="69" customFormat="1" ht="18" customHeight="1">
      <c r="A585" s="129"/>
      <c r="B585" s="147"/>
      <c r="C585" s="94"/>
      <c r="D585" s="147" t="s">
        <v>286</v>
      </c>
      <c r="E585" s="94"/>
      <c r="F585" s="147"/>
      <c r="G585" s="47"/>
      <c r="H585" s="130">
        <v>160.9</v>
      </c>
      <c r="I585" s="133">
        <v>6798</v>
      </c>
      <c r="J585" s="133">
        <v>5624</v>
      </c>
      <c r="K585" s="130"/>
      <c r="L585" s="130"/>
      <c r="M585" s="84"/>
      <c r="N585" s="37"/>
      <c r="O585" s="38"/>
      <c r="P585" s="94"/>
      <c r="Q585" s="131" t="s">
        <v>337</v>
      </c>
      <c r="R585" s="165">
        <f>83+7138+1038+549+453+4057+124+339+127+1314+355+142+2396+729+616+9</f>
        <v>19469</v>
      </c>
      <c r="S585" s="132"/>
      <c r="T585" s="22"/>
      <c r="U585" s="22"/>
      <c r="V585" s="95"/>
      <c r="W585" s="73"/>
      <c r="X585"/>
      <c r="Z585"/>
      <c r="AA585" s="33"/>
    </row>
    <row r="586" spans="1:27" ht="18" customHeight="1">
      <c r="A586" s="129"/>
      <c r="B586" s="147"/>
      <c r="C586" s="94"/>
      <c r="D586" s="147" t="s">
        <v>287</v>
      </c>
      <c r="E586" s="94"/>
      <c r="F586" s="147"/>
      <c r="G586" s="47"/>
      <c r="H586" s="130">
        <v>136.9</v>
      </c>
      <c r="I586" s="133">
        <v>3500</v>
      </c>
      <c r="J586" s="133">
        <v>3143</v>
      </c>
      <c r="K586" s="130"/>
      <c r="L586" s="130"/>
      <c r="M586" s="84"/>
      <c r="N586" s="37"/>
      <c r="O586" s="38"/>
      <c r="P586" s="94"/>
      <c r="Q586" s="131" t="s">
        <v>338</v>
      </c>
      <c r="R586" s="165">
        <f>10805+1605+2691+2514+277+655+221+404+271+202+542+294+2471+4857</f>
        <v>27809</v>
      </c>
      <c r="S586" s="132"/>
      <c r="V586" s="95"/>
    </row>
    <row r="587" spans="1:27" ht="18" customHeight="1">
      <c r="A587" s="129"/>
      <c r="B587" s="147"/>
      <c r="C587" s="94"/>
      <c r="D587" s="147" t="s">
        <v>288</v>
      </c>
      <c r="E587" s="94"/>
      <c r="F587" s="147"/>
      <c r="G587" s="47"/>
      <c r="H587" s="130">
        <v>193.8</v>
      </c>
      <c r="I587" s="133">
        <v>2953</v>
      </c>
      <c r="J587" s="133">
        <v>1106</v>
      </c>
      <c r="K587" s="130"/>
      <c r="L587" s="130"/>
      <c r="M587" s="84"/>
      <c r="N587" s="37"/>
      <c r="O587" s="38"/>
      <c r="P587" s="94"/>
      <c r="Q587" s="131" t="s">
        <v>339</v>
      </c>
      <c r="R587" s="165">
        <f>10450+13416+3965+1446+520+801+472+1626+2641+10574</f>
        <v>45911</v>
      </c>
      <c r="S587" s="132"/>
      <c r="V587" s="95"/>
    </row>
    <row r="588" spans="1:27" ht="18" customHeight="1">
      <c r="A588" s="129"/>
      <c r="B588" s="147"/>
      <c r="C588" s="94"/>
      <c r="D588" s="147" t="s">
        <v>289</v>
      </c>
      <c r="E588" s="94"/>
      <c r="F588" s="147"/>
      <c r="G588" s="47"/>
      <c r="H588" s="130">
        <v>243.5</v>
      </c>
      <c r="I588" s="133">
        <v>1503</v>
      </c>
      <c r="J588" s="41"/>
      <c r="K588" s="130"/>
      <c r="L588" s="130"/>
      <c r="M588" s="84"/>
      <c r="N588" s="37"/>
      <c r="O588" s="38"/>
      <c r="P588" s="94"/>
      <c r="Q588" s="131" t="s">
        <v>340</v>
      </c>
      <c r="R588" s="165">
        <f>1671+2643+573+1040+1500+758+2233+1862+862+16412+2350+15891+4883+14250+3979+3571+3731+1488+134+20460</f>
        <v>100291</v>
      </c>
      <c r="S588" s="132"/>
      <c r="V588" s="95"/>
    </row>
    <row r="589" spans="1:27" ht="18" customHeight="1">
      <c r="A589" s="129"/>
      <c r="B589" s="147"/>
      <c r="C589" s="94"/>
      <c r="D589" s="147" t="s">
        <v>290</v>
      </c>
      <c r="E589" s="94"/>
      <c r="F589" s="147"/>
      <c r="G589" s="47"/>
      <c r="H589" s="130">
        <v>1.5</v>
      </c>
      <c r="I589" s="133">
        <v>5</v>
      </c>
      <c r="J589" s="41"/>
      <c r="K589" s="130"/>
      <c r="L589" s="130"/>
      <c r="M589" s="84"/>
      <c r="N589" s="37"/>
      <c r="O589" s="38"/>
      <c r="P589" s="94"/>
      <c r="Q589" s="131" t="s">
        <v>341</v>
      </c>
      <c r="R589" s="165">
        <f>7374+4723+1891+7574+496+2225+97+814+172+493+131+63+617+885+94+162+273+247</f>
        <v>28331</v>
      </c>
      <c r="S589" s="132"/>
      <c r="V589" s="95"/>
    </row>
    <row r="590" spans="1:27" ht="18" customHeight="1">
      <c r="A590" s="129"/>
      <c r="B590" s="147"/>
      <c r="C590" s="94"/>
      <c r="D590" s="147" t="s">
        <v>291</v>
      </c>
      <c r="E590" s="94"/>
      <c r="F590" s="147"/>
      <c r="G590" s="47"/>
      <c r="H590" s="130">
        <v>3.2</v>
      </c>
      <c r="I590" s="133">
        <v>13</v>
      </c>
      <c r="J590" s="134"/>
      <c r="K590" s="130"/>
      <c r="L590" s="130"/>
      <c r="M590" s="84"/>
      <c r="N590" s="37"/>
      <c r="O590" s="38"/>
      <c r="P590" s="94"/>
      <c r="Q590" s="131" t="s">
        <v>342</v>
      </c>
      <c r="R590" s="165">
        <f>5056+1896+32+45+30+751+778+36+32+101+374+11+43+53+251+495+225+472+1199+383+59+220+42+2333+922</f>
        <v>15839</v>
      </c>
      <c r="S590" s="132"/>
      <c r="V590" s="95"/>
    </row>
    <row r="591" spans="1:27" ht="18" customHeight="1">
      <c r="A591" s="129"/>
      <c r="B591" s="147"/>
      <c r="C591" s="94"/>
      <c r="D591" s="147" t="s">
        <v>292</v>
      </c>
      <c r="E591" s="94"/>
      <c r="F591" s="147"/>
      <c r="G591" s="47"/>
      <c r="H591" s="130">
        <v>11.7</v>
      </c>
      <c r="I591" s="133">
        <v>208</v>
      </c>
      <c r="J591" s="133">
        <v>168</v>
      </c>
      <c r="K591" s="130"/>
      <c r="L591" s="130"/>
      <c r="M591" s="84"/>
      <c r="N591" s="37"/>
      <c r="O591" s="38"/>
      <c r="P591" s="94"/>
      <c r="Q591" s="131" t="s">
        <v>343</v>
      </c>
      <c r="R591" s="165">
        <f>249+157+432+210+139+316+42+297+203+156+105+149+72+98+130+253+1148+1931</f>
        <v>6087</v>
      </c>
      <c r="S591" s="132"/>
      <c r="V591" s="95"/>
    </row>
    <row r="592" spans="1:27" ht="18" customHeight="1">
      <c r="A592" s="129"/>
      <c r="B592" s="147"/>
      <c r="C592" s="94"/>
      <c r="D592" s="147" t="s">
        <v>293</v>
      </c>
      <c r="E592" s="94"/>
      <c r="F592" s="147"/>
      <c r="G592" s="47"/>
      <c r="H592" s="130">
        <v>15.2</v>
      </c>
      <c r="I592" s="133">
        <v>100</v>
      </c>
      <c r="J592" s="133">
        <v>90</v>
      </c>
      <c r="K592" s="130"/>
      <c r="L592" s="130"/>
      <c r="M592" s="84"/>
      <c r="N592" s="37"/>
      <c r="O592" s="38"/>
      <c r="P592" s="94"/>
      <c r="Q592" s="131" t="s">
        <v>344</v>
      </c>
      <c r="R592" s="165">
        <f>508+300+354+137+621+153+2150+496+3+12+183+6+15+43</f>
        <v>4981</v>
      </c>
      <c r="S592" s="132"/>
      <c r="V592" s="95"/>
    </row>
    <row r="593" spans="1:27" ht="18" customHeight="1">
      <c r="A593" s="129"/>
      <c r="B593" s="147"/>
      <c r="C593" s="94"/>
      <c r="D593" s="147" t="s">
        <v>294</v>
      </c>
      <c r="E593" s="94"/>
      <c r="F593" s="147"/>
      <c r="G593" s="47"/>
      <c r="H593" s="130">
        <v>0.4</v>
      </c>
      <c r="I593" s="133">
        <v>92</v>
      </c>
      <c r="J593" s="133">
        <v>82</v>
      </c>
      <c r="K593" s="130"/>
      <c r="L593" s="130"/>
      <c r="M593" s="84"/>
      <c r="N593" s="37"/>
      <c r="O593" s="38"/>
      <c r="P593" s="94"/>
      <c r="Q593" s="131" t="s">
        <v>345</v>
      </c>
      <c r="R593" s="165">
        <f>1533+10184+125+265+1644+1493+2067+3006</f>
        <v>20317</v>
      </c>
      <c r="S593" s="132"/>
      <c r="V593" s="95"/>
    </row>
    <row r="594" spans="1:27" ht="18" customHeight="1">
      <c r="A594" s="129"/>
      <c r="B594" s="440" t="s">
        <v>296</v>
      </c>
      <c r="C594" s="440"/>
      <c r="D594" s="440"/>
      <c r="E594" s="94"/>
      <c r="F594" s="147"/>
      <c r="G594" s="47"/>
      <c r="H594" s="130">
        <f>SUM(H582:H593)</f>
        <v>1409.1000000000001</v>
      </c>
      <c r="I594" s="133">
        <f>SUM(I582:I593)</f>
        <v>60370</v>
      </c>
      <c r="J594" s="133">
        <f>SUM(J582:J593)</f>
        <v>50026</v>
      </c>
      <c r="K594" s="130"/>
      <c r="L594" s="130"/>
      <c r="M594" s="84"/>
      <c r="N594" s="37"/>
      <c r="O594" s="38"/>
      <c r="P594" s="94"/>
      <c r="Q594" s="131"/>
      <c r="R594" s="165">
        <f>SUM(R581:R593)</f>
        <v>430633</v>
      </c>
      <c r="S594" s="132"/>
      <c r="V594" s="95"/>
    </row>
    <row r="595" spans="1:27" ht="18" customHeight="1">
      <c r="A595" s="129"/>
      <c r="B595" s="440" t="s">
        <v>295</v>
      </c>
      <c r="C595" s="440"/>
      <c r="D595" s="440"/>
      <c r="E595" s="94"/>
      <c r="F595" s="147"/>
      <c r="G595" s="47"/>
      <c r="H595" s="130">
        <f>117+1833</f>
        <v>1950</v>
      </c>
      <c r="I595" s="133">
        <f>40904+41638</f>
        <v>82542</v>
      </c>
      <c r="J595" s="133">
        <f>37290+32247</f>
        <v>69537</v>
      </c>
      <c r="K595" s="130"/>
      <c r="L595" s="130"/>
      <c r="M595" s="84"/>
      <c r="N595" s="37"/>
      <c r="O595" s="38"/>
      <c r="P595" s="94"/>
      <c r="Q595" s="131"/>
      <c r="R595" s="165"/>
      <c r="S595" s="132"/>
      <c r="V595" s="95"/>
    </row>
    <row r="596" spans="1:27" ht="18" customHeight="1">
      <c r="A596" s="129"/>
      <c r="B596" s="440" t="s">
        <v>297</v>
      </c>
      <c r="C596" s="440"/>
      <c r="D596" s="440"/>
      <c r="E596" s="94"/>
      <c r="F596" s="147"/>
      <c r="G596" s="47"/>
      <c r="H596" s="130">
        <f>H595-H594</f>
        <v>540.89999999999986</v>
      </c>
      <c r="I596" s="133">
        <f>I595-I594</f>
        <v>22172</v>
      </c>
      <c r="J596" s="133">
        <f>J595-J594</f>
        <v>19511</v>
      </c>
      <c r="K596" s="130"/>
      <c r="L596" s="130"/>
      <c r="M596" s="84"/>
      <c r="N596" s="37"/>
      <c r="O596" s="38"/>
      <c r="P596" s="94"/>
      <c r="Q596" s="131"/>
      <c r="R596" s="165"/>
      <c r="S596" s="132"/>
      <c r="V596" s="95"/>
    </row>
    <row r="597" spans="1:27" ht="18" customHeight="1">
      <c r="A597" s="129"/>
      <c r="B597" s="147"/>
      <c r="C597" s="147"/>
      <c r="D597" s="147"/>
      <c r="E597" s="94"/>
      <c r="F597" s="147"/>
      <c r="G597" s="47"/>
      <c r="H597" s="165">
        <f>SUM(H63:H573)</f>
        <v>1350.9999999999993</v>
      </c>
      <c r="I597" s="165">
        <f>SUM(I63:I573)</f>
        <v>29667</v>
      </c>
      <c r="J597" s="165">
        <f>SUM(J63:J573)</f>
        <v>37059</v>
      </c>
      <c r="K597" s="165">
        <f>SUM(K63:K573)</f>
        <v>1351.5999999999997</v>
      </c>
      <c r="L597" s="165"/>
      <c r="M597" s="165"/>
      <c r="N597" s="165"/>
      <c r="O597" s="165"/>
      <c r="P597" s="165"/>
      <c r="Q597" s="165"/>
      <c r="R597" s="165">
        <f>SUM(R63:R573)</f>
        <v>803567</v>
      </c>
      <c r="S597" s="132"/>
      <c r="V597" s="95"/>
    </row>
    <row r="598" spans="1:27" s="97" customFormat="1">
      <c r="A598" s="147"/>
      <c r="B598" s="76"/>
      <c r="C598" s="76"/>
      <c r="D598" s="145" t="s">
        <v>122</v>
      </c>
      <c r="E598" s="146"/>
      <c r="F598" s="146"/>
      <c r="G598" s="146"/>
      <c r="H598" s="146"/>
      <c r="I598" s="146"/>
      <c r="J598" s="146"/>
      <c r="K598" s="146"/>
      <c r="L598" s="94"/>
      <c r="M598" s="94"/>
      <c r="N598" s="37"/>
      <c r="O598" s="38"/>
      <c r="P598" s="36"/>
      <c r="Q598" s="131" t="s">
        <v>283</v>
      </c>
      <c r="R598" s="165">
        <v>4597441</v>
      </c>
      <c r="S598" s="40"/>
      <c r="T598" s="41"/>
      <c r="U598" s="41"/>
      <c r="V598" s="95"/>
      <c r="W598" s="96"/>
      <c r="Y598" s="98"/>
      <c r="AA598" s="99"/>
    </row>
    <row r="599" spans="1:27" s="97" customFormat="1" ht="18.75" customHeight="1">
      <c r="A599" s="147"/>
      <c r="B599" s="76"/>
      <c r="C599" s="76"/>
      <c r="D599" s="441" t="s">
        <v>124</v>
      </c>
      <c r="E599" s="442"/>
      <c r="F599" s="146"/>
      <c r="G599" s="146"/>
      <c r="H599" s="146"/>
      <c r="I599" s="146"/>
      <c r="J599" s="424" t="s">
        <v>123</v>
      </c>
      <c r="K599" s="424"/>
      <c r="L599" s="94"/>
      <c r="M599" s="137">
        <f>82542/94580*100</f>
        <v>87.272150560372168</v>
      </c>
      <c r="N599" s="37"/>
      <c r="O599" s="38"/>
      <c r="P599" s="36"/>
      <c r="Q599" s="34" t="s">
        <v>313</v>
      </c>
      <c r="R599" s="76">
        <f>R598+R597</f>
        <v>5401008</v>
      </c>
      <c r="S599" s="40"/>
      <c r="T599" s="41"/>
      <c r="U599" s="41"/>
      <c r="V599" s="95"/>
      <c r="W599" s="96"/>
      <c r="Y599" s="98"/>
      <c r="AA599" s="99"/>
    </row>
    <row r="600" spans="1:27" s="97" customFormat="1">
      <c r="A600" s="147"/>
      <c r="B600" s="76"/>
      <c r="C600" s="76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37"/>
      <c r="O600" s="38"/>
      <c r="P600" s="36"/>
      <c r="Q600" s="39"/>
      <c r="R600" s="84"/>
      <c r="S600" s="40"/>
      <c r="T600" s="41"/>
      <c r="U600" s="41"/>
      <c r="V600" s="95"/>
      <c r="W600" s="96"/>
      <c r="Y600" s="98"/>
      <c r="AA600" s="99"/>
    </row>
    <row r="601" spans="1:27" s="97" customFormat="1">
      <c r="A601" s="147"/>
      <c r="B601" s="76"/>
      <c r="C601" s="76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37"/>
      <c r="O601" s="38"/>
      <c r="P601" s="36"/>
      <c r="Q601" s="39"/>
      <c r="R601" s="84"/>
      <c r="S601" s="40"/>
      <c r="T601" s="41"/>
      <c r="U601" s="41"/>
      <c r="V601" s="95"/>
      <c r="W601" s="96"/>
      <c r="Y601" s="98"/>
      <c r="AA601" s="99"/>
    </row>
    <row r="602" spans="1:27" s="97" customFormat="1">
      <c r="A602" s="147"/>
      <c r="B602" s="76"/>
      <c r="C602" s="76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37"/>
      <c r="O602" s="38"/>
      <c r="P602" s="36"/>
      <c r="Q602" s="39"/>
      <c r="R602" s="84"/>
      <c r="S602" s="40"/>
      <c r="T602" s="41"/>
      <c r="U602" s="41"/>
      <c r="V602" s="95"/>
      <c r="W602" s="96"/>
      <c r="Y602" s="98"/>
      <c r="AA602" s="99"/>
    </row>
    <row r="603" spans="1:27" s="97" customFormat="1">
      <c r="A603" s="147"/>
      <c r="B603" s="76"/>
      <c r="C603" s="76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37"/>
      <c r="O603" s="38"/>
      <c r="P603" s="36"/>
      <c r="Q603" s="39"/>
      <c r="R603" s="84"/>
      <c r="S603" s="40"/>
      <c r="T603" s="41"/>
      <c r="U603" s="41"/>
      <c r="V603" s="95"/>
      <c r="W603" s="96"/>
      <c r="Y603" s="98"/>
      <c r="AA603" s="99"/>
    </row>
    <row r="604" spans="1:27" s="97" customFormat="1">
      <c r="A604" s="147"/>
      <c r="B604" s="76"/>
      <c r="C604" s="76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37"/>
      <c r="O604" s="38"/>
      <c r="P604" s="36"/>
      <c r="Q604" s="39"/>
      <c r="R604" s="84"/>
      <c r="S604" s="40"/>
      <c r="T604" s="41"/>
      <c r="U604" s="41"/>
      <c r="V604" s="95"/>
      <c r="W604" s="96"/>
      <c r="Y604" s="98"/>
      <c r="AA604" s="99"/>
    </row>
    <row r="605" spans="1:27" s="97" customFormat="1">
      <c r="A605" s="147"/>
      <c r="B605" s="76"/>
      <c r="C605" s="76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37"/>
      <c r="O605" s="38"/>
      <c r="P605" s="147"/>
      <c r="Q605" s="94"/>
      <c r="R605" s="94"/>
      <c r="S605" s="47"/>
      <c r="T605" s="52"/>
      <c r="U605" s="52"/>
      <c r="V605" s="95"/>
      <c r="W605" s="96"/>
      <c r="X605" s="100"/>
      <c r="Y605" s="98"/>
      <c r="AA605" s="99"/>
    </row>
    <row r="606" spans="1:27" s="97" customFormat="1">
      <c r="A606" s="147"/>
      <c r="B606" s="76"/>
      <c r="C606" s="76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37"/>
      <c r="O606" s="38"/>
      <c r="P606" s="147"/>
      <c r="Q606" s="94"/>
      <c r="R606" s="94"/>
      <c r="S606" s="47"/>
      <c r="T606" s="52"/>
      <c r="U606" s="52"/>
      <c r="V606" s="95"/>
      <c r="W606" s="96"/>
      <c r="Y606" s="98"/>
      <c r="AA606" s="99"/>
    </row>
    <row r="607" spans="1:27" s="97" customFormat="1">
      <c r="A607" s="147"/>
      <c r="B607" s="76"/>
      <c r="C607" s="76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37"/>
      <c r="O607" s="38"/>
      <c r="P607" s="147"/>
      <c r="Q607" s="84"/>
      <c r="R607" s="84"/>
      <c r="S607" s="47"/>
      <c r="T607" s="52"/>
      <c r="U607" s="52"/>
      <c r="V607" s="95"/>
      <c r="W607" s="96"/>
      <c r="Y607" s="98"/>
      <c r="AA607" s="99"/>
    </row>
    <row r="608" spans="1:27" s="97" customFormat="1">
      <c r="A608" s="147"/>
      <c r="B608" s="76"/>
      <c r="C608" s="76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37"/>
      <c r="O608" s="38"/>
      <c r="P608" s="147"/>
      <c r="Q608" s="84"/>
      <c r="R608" s="84"/>
      <c r="S608" s="47"/>
      <c r="T608" s="52"/>
      <c r="U608" s="52"/>
      <c r="V608" s="95"/>
      <c r="W608" s="96"/>
      <c r="Y608" s="98"/>
      <c r="AA608" s="99"/>
    </row>
    <row r="609" spans="1:27" s="97" customFormat="1">
      <c r="A609" s="147"/>
      <c r="B609" s="76"/>
      <c r="C609" s="76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37"/>
      <c r="O609" s="38"/>
      <c r="P609" s="147"/>
      <c r="Q609" s="76"/>
      <c r="R609" s="76"/>
      <c r="S609" s="47"/>
      <c r="T609" s="52"/>
      <c r="U609" s="52"/>
      <c r="V609" s="95"/>
      <c r="W609" s="96"/>
      <c r="Y609" s="98"/>
      <c r="AA609" s="99"/>
    </row>
    <row r="610" spans="1:27" s="97" customFormat="1">
      <c r="A610" s="147"/>
      <c r="B610" s="76"/>
      <c r="C610" s="76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37"/>
      <c r="O610" s="38"/>
      <c r="P610" s="147"/>
      <c r="Q610" s="76"/>
      <c r="R610" s="76"/>
      <c r="S610" s="47"/>
      <c r="T610" s="52"/>
      <c r="U610" s="52"/>
      <c r="V610" s="95"/>
      <c r="W610" s="96"/>
      <c r="Y610" s="98"/>
      <c r="AA610" s="99"/>
    </row>
    <row r="611" spans="1:27" s="97" customFormat="1">
      <c r="A611" s="147"/>
      <c r="B611" s="76"/>
      <c r="C611" s="76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37"/>
      <c r="O611" s="38"/>
      <c r="P611" s="147"/>
      <c r="Q611" s="76"/>
      <c r="R611" s="76"/>
      <c r="S611" s="47"/>
      <c r="T611" s="52"/>
      <c r="U611" s="52"/>
      <c r="V611" s="95"/>
      <c r="W611" s="96"/>
      <c r="Y611" s="98"/>
      <c r="AA611" s="99"/>
    </row>
    <row r="612" spans="1:27" s="97" customFormat="1">
      <c r="A612" s="147"/>
      <c r="B612" s="76"/>
      <c r="C612" s="76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37"/>
      <c r="O612" s="38"/>
      <c r="P612" s="147"/>
      <c r="Q612" s="76"/>
      <c r="R612" s="76"/>
      <c r="S612" s="47"/>
      <c r="T612" s="52"/>
      <c r="U612" s="52"/>
      <c r="V612" s="95"/>
      <c r="W612" s="96"/>
      <c r="Y612" s="98"/>
      <c r="AA612" s="99"/>
    </row>
    <row r="613" spans="1:27" s="97" customFormat="1">
      <c r="A613" s="147"/>
      <c r="B613" s="76"/>
      <c r="C613" s="76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37"/>
      <c r="O613" s="38"/>
      <c r="P613" s="147"/>
      <c r="Q613" s="76"/>
      <c r="R613" s="76"/>
      <c r="S613" s="47"/>
      <c r="T613" s="52"/>
      <c r="U613" s="52"/>
      <c r="V613" s="95"/>
      <c r="W613" s="96"/>
      <c r="Y613" s="98"/>
      <c r="AA613" s="99"/>
    </row>
    <row r="614" spans="1:27" s="97" customFormat="1">
      <c r="A614" s="147"/>
      <c r="B614" s="76"/>
      <c r="C614" s="76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37"/>
      <c r="O614" s="38"/>
      <c r="P614" s="147"/>
      <c r="Q614" s="76"/>
      <c r="R614" s="76"/>
      <c r="S614" s="47"/>
      <c r="T614" s="52"/>
      <c r="U614" s="52"/>
      <c r="V614" s="95"/>
      <c r="W614" s="96"/>
      <c r="Y614" s="98"/>
      <c r="AA614" s="99"/>
    </row>
    <row r="615" spans="1:27" s="97" customFormat="1">
      <c r="A615" s="147"/>
      <c r="B615" s="76"/>
      <c r="C615" s="76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37"/>
      <c r="O615" s="38"/>
      <c r="P615" s="147"/>
      <c r="Q615" s="76"/>
      <c r="R615" s="76"/>
      <c r="S615" s="47"/>
      <c r="T615" s="52"/>
      <c r="U615" s="52"/>
      <c r="V615" s="95"/>
      <c r="W615" s="96"/>
      <c r="Y615" s="98"/>
      <c r="AA615" s="99"/>
    </row>
    <row r="616" spans="1:27" s="97" customFormat="1">
      <c r="A616" s="147"/>
      <c r="B616" s="76"/>
      <c r="C616" s="76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37"/>
      <c r="O616" s="38"/>
      <c r="P616" s="147"/>
      <c r="Q616" s="76"/>
      <c r="R616" s="76"/>
      <c r="S616" s="47"/>
      <c r="T616" s="52"/>
      <c r="U616" s="52"/>
      <c r="V616" s="95"/>
      <c r="W616" s="96"/>
      <c r="Y616" s="98"/>
      <c r="AA616" s="99"/>
    </row>
    <row r="617" spans="1:27" s="97" customFormat="1">
      <c r="A617" s="147"/>
      <c r="B617" s="76"/>
      <c r="C617" s="76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37"/>
      <c r="O617" s="38"/>
      <c r="P617" s="147"/>
      <c r="Q617" s="76"/>
      <c r="R617" s="76"/>
      <c r="S617" s="47"/>
      <c r="T617" s="52"/>
      <c r="U617" s="52"/>
      <c r="V617" s="95"/>
      <c r="W617" s="96"/>
      <c r="Y617" s="98"/>
      <c r="AA617" s="99"/>
    </row>
    <row r="618" spans="1:27" s="97" customFormat="1">
      <c r="A618" s="147"/>
      <c r="B618" s="76"/>
      <c r="C618" s="76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37"/>
      <c r="O618" s="38"/>
      <c r="P618" s="147"/>
      <c r="Q618" s="76"/>
      <c r="R618" s="76"/>
      <c r="S618" s="47"/>
      <c r="T618" s="52"/>
      <c r="U618" s="52"/>
      <c r="V618" s="95"/>
      <c r="W618" s="96"/>
      <c r="Y618" s="98"/>
      <c r="AA618" s="99"/>
    </row>
    <row r="619" spans="1:27" s="97" customFormat="1">
      <c r="A619" s="147"/>
      <c r="B619" s="76"/>
      <c r="C619" s="76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37"/>
      <c r="O619" s="38"/>
      <c r="P619" s="147"/>
      <c r="Q619" s="76"/>
      <c r="R619" s="76"/>
      <c r="S619" s="47"/>
      <c r="T619" s="52"/>
      <c r="U619" s="52"/>
      <c r="V619" s="95"/>
      <c r="W619" s="96"/>
      <c r="Y619" s="98"/>
      <c r="AA619" s="99"/>
    </row>
    <row r="620" spans="1:27" s="97" customFormat="1">
      <c r="A620" s="147"/>
      <c r="B620" s="76"/>
      <c r="C620" s="76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37"/>
      <c r="O620" s="38"/>
      <c r="P620" s="147"/>
      <c r="Q620" s="76"/>
      <c r="R620" s="76"/>
      <c r="S620" s="47"/>
      <c r="T620" s="52"/>
      <c r="U620" s="52"/>
      <c r="V620" s="95"/>
      <c r="W620" s="96"/>
      <c r="Y620" s="98"/>
      <c r="AA620" s="99"/>
    </row>
    <row r="621" spans="1:27" s="97" customFormat="1">
      <c r="A621" s="147"/>
      <c r="B621" s="76"/>
      <c r="C621" s="76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37"/>
      <c r="O621" s="38"/>
      <c r="P621" s="147"/>
      <c r="Q621" s="76"/>
      <c r="R621" s="76"/>
      <c r="S621" s="47"/>
      <c r="T621" s="52"/>
      <c r="U621" s="52"/>
      <c r="V621" s="95"/>
      <c r="W621" s="96"/>
      <c r="Y621" s="98"/>
      <c r="AA621" s="99"/>
    </row>
    <row r="622" spans="1:27" s="97" customFormat="1">
      <c r="A622" s="147"/>
      <c r="B622" s="76"/>
      <c r="C622" s="76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37"/>
      <c r="O622" s="38"/>
      <c r="P622" s="147"/>
      <c r="Q622" s="76"/>
      <c r="R622" s="76"/>
      <c r="S622" s="47"/>
      <c r="T622" s="52"/>
      <c r="U622" s="52"/>
      <c r="V622" s="95"/>
      <c r="W622" s="96"/>
      <c r="Y622" s="98"/>
      <c r="AA622" s="99"/>
    </row>
    <row r="623" spans="1:27" s="97" customFormat="1">
      <c r="A623" s="147"/>
      <c r="B623" s="76"/>
      <c r="C623" s="76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37"/>
      <c r="O623" s="38"/>
      <c r="P623" s="147"/>
      <c r="Q623" s="76"/>
      <c r="R623" s="76"/>
      <c r="S623" s="47"/>
      <c r="T623" s="52"/>
      <c r="U623" s="52"/>
      <c r="V623" s="95"/>
      <c r="W623" s="96"/>
      <c r="Y623" s="98"/>
      <c r="AA623" s="99"/>
    </row>
    <row r="624" spans="1:27" s="97" customFormat="1">
      <c r="A624" s="147"/>
      <c r="B624" s="76"/>
      <c r="C624" s="76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37"/>
      <c r="O624" s="38"/>
      <c r="P624" s="147"/>
      <c r="Q624" s="76"/>
      <c r="R624" s="76"/>
      <c r="S624" s="47"/>
      <c r="T624" s="52"/>
      <c r="U624" s="52"/>
      <c r="V624" s="95"/>
      <c r="W624" s="96"/>
      <c r="Y624" s="98"/>
      <c r="AA624" s="99"/>
    </row>
    <row r="625" spans="1:27" s="97" customFormat="1">
      <c r="A625" s="147"/>
      <c r="B625" s="76"/>
      <c r="C625" s="76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37"/>
      <c r="O625" s="38"/>
      <c r="P625" s="147"/>
      <c r="Q625" s="76"/>
      <c r="R625" s="76"/>
      <c r="S625" s="47"/>
      <c r="T625" s="52"/>
      <c r="U625" s="52"/>
      <c r="V625" s="95"/>
      <c r="W625" s="96"/>
      <c r="Y625" s="98"/>
      <c r="AA625" s="99"/>
    </row>
    <row r="626" spans="1:27" s="97" customFormat="1">
      <c r="A626" s="147"/>
      <c r="B626" s="76"/>
      <c r="C626" s="76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37"/>
      <c r="O626" s="38"/>
      <c r="P626" s="147"/>
      <c r="Q626" s="76"/>
      <c r="R626" s="76"/>
      <c r="S626" s="47"/>
      <c r="T626" s="52"/>
      <c r="U626" s="52"/>
      <c r="V626" s="95"/>
      <c r="W626" s="96"/>
      <c r="Y626" s="98"/>
      <c r="AA626" s="99"/>
    </row>
    <row r="627" spans="1:27" s="97" customFormat="1">
      <c r="A627" s="147"/>
      <c r="B627" s="76"/>
      <c r="C627" s="76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37"/>
      <c r="O627" s="38"/>
      <c r="P627" s="147"/>
      <c r="Q627" s="76"/>
      <c r="R627" s="76"/>
      <c r="S627" s="47"/>
      <c r="T627" s="52"/>
      <c r="U627" s="52"/>
      <c r="V627" s="95"/>
      <c r="W627" s="96"/>
      <c r="Y627" s="98"/>
      <c r="AA627" s="99"/>
    </row>
    <row r="628" spans="1:27" s="97" customFormat="1">
      <c r="A628" s="147"/>
      <c r="B628" s="76"/>
      <c r="C628" s="76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37"/>
      <c r="O628" s="38"/>
      <c r="P628" s="147"/>
      <c r="Q628" s="76"/>
      <c r="R628" s="76"/>
      <c r="S628" s="47"/>
      <c r="T628" s="52"/>
      <c r="U628" s="52"/>
      <c r="V628" s="95"/>
      <c r="W628" s="96"/>
      <c r="Y628" s="98"/>
      <c r="AA628" s="99"/>
    </row>
    <row r="629" spans="1:27" s="97" customFormat="1">
      <c r="A629" s="147"/>
      <c r="B629" s="76"/>
      <c r="C629" s="76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37"/>
      <c r="O629" s="38"/>
      <c r="P629" s="147"/>
      <c r="Q629" s="76"/>
      <c r="R629" s="76"/>
      <c r="S629" s="47"/>
      <c r="T629" s="52"/>
      <c r="U629" s="52"/>
      <c r="V629" s="95"/>
      <c r="W629" s="96"/>
      <c r="Y629" s="98"/>
      <c r="AA629" s="99"/>
    </row>
    <row r="630" spans="1:27">
      <c r="A630" s="147"/>
      <c r="B630" s="76"/>
      <c r="C630" s="76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7"/>
      <c r="O630" s="38"/>
      <c r="P630" s="36"/>
      <c r="Q630" s="76"/>
      <c r="R630" s="76"/>
      <c r="S630" s="40"/>
      <c r="T630" s="41"/>
      <c r="U630" s="41"/>
    </row>
    <row r="631" spans="1:27">
      <c r="A631" s="147"/>
      <c r="B631" s="76"/>
      <c r="C631" s="76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7"/>
      <c r="O631" s="38"/>
      <c r="P631" s="36"/>
      <c r="Q631" s="34"/>
      <c r="R631" s="76"/>
      <c r="S631" s="40"/>
      <c r="T631" s="41"/>
      <c r="U631" s="41"/>
    </row>
    <row r="632" spans="1:27">
      <c r="A632" s="147"/>
      <c r="B632" s="76"/>
      <c r="C632" s="76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7"/>
      <c r="O632" s="38"/>
      <c r="P632" s="36"/>
      <c r="Q632" s="34"/>
      <c r="R632" s="76"/>
      <c r="S632" s="40"/>
      <c r="T632" s="41"/>
      <c r="U632" s="41"/>
    </row>
    <row r="633" spans="1:27">
      <c r="A633" s="147"/>
      <c r="B633" s="76"/>
      <c r="C633" s="76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7"/>
      <c r="O633" s="38"/>
      <c r="P633" s="36"/>
      <c r="Q633" s="34"/>
      <c r="R633" s="76"/>
      <c r="S633" s="40"/>
      <c r="T633" s="41"/>
      <c r="U633" s="41"/>
    </row>
    <row r="634" spans="1:27">
      <c r="A634" s="147"/>
      <c r="B634" s="76"/>
      <c r="C634" s="76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7"/>
      <c r="O634" s="38"/>
      <c r="P634" s="36"/>
      <c r="Q634" s="34"/>
      <c r="R634" s="76"/>
      <c r="S634" s="40"/>
      <c r="T634" s="41"/>
      <c r="U634" s="41"/>
    </row>
    <row r="635" spans="1:27">
      <c r="A635" s="147"/>
      <c r="B635" s="76"/>
      <c r="C635" s="76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7"/>
      <c r="O635" s="38"/>
      <c r="P635" s="36"/>
      <c r="Q635" s="34"/>
      <c r="R635" s="76"/>
      <c r="S635" s="40"/>
      <c r="T635" s="41"/>
      <c r="U635" s="41"/>
    </row>
    <row r="636" spans="1:27">
      <c r="A636" s="147"/>
      <c r="B636" s="76"/>
      <c r="C636" s="76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7"/>
      <c r="O636" s="38"/>
      <c r="P636" s="36"/>
      <c r="Q636" s="34"/>
      <c r="R636" s="76"/>
      <c r="S636" s="40"/>
      <c r="T636" s="41"/>
      <c r="U636" s="41"/>
    </row>
    <row r="637" spans="1:27" s="1" customFormat="1">
      <c r="A637" s="34"/>
      <c r="B637" s="76"/>
      <c r="C637" s="76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7"/>
      <c r="O637" s="38"/>
      <c r="P637" s="34"/>
      <c r="Q637" s="34"/>
      <c r="R637" s="76"/>
      <c r="S637" s="40"/>
      <c r="T637" s="42"/>
      <c r="U637" s="42"/>
      <c r="V637" s="32"/>
      <c r="W637" s="71"/>
      <c r="Y637" s="68"/>
      <c r="AA637" s="66"/>
    </row>
    <row r="638" spans="1:27" s="1" customFormat="1">
      <c r="A638" s="34"/>
      <c r="B638" s="76"/>
      <c r="C638" s="76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7"/>
      <c r="O638" s="38"/>
      <c r="P638" s="34"/>
      <c r="Q638" s="34"/>
      <c r="R638" s="76"/>
      <c r="S638" s="40"/>
      <c r="T638" s="42"/>
      <c r="U638" s="42"/>
      <c r="V638" s="32"/>
      <c r="W638" s="71"/>
      <c r="Y638" s="68"/>
      <c r="AA638" s="66"/>
    </row>
    <row r="639" spans="1:27" s="1" customFormat="1">
      <c r="A639" s="34"/>
      <c r="B639" s="76"/>
      <c r="C639" s="76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7"/>
      <c r="O639" s="38"/>
      <c r="P639" s="34"/>
      <c r="Q639" s="34"/>
      <c r="R639" s="76"/>
      <c r="S639" s="40"/>
      <c r="T639" s="42"/>
      <c r="U639" s="42"/>
      <c r="V639" s="32"/>
      <c r="W639" s="71"/>
      <c r="Y639" s="68"/>
      <c r="AA639" s="66"/>
    </row>
    <row r="640" spans="1:27" s="1" customFormat="1">
      <c r="A640" s="34"/>
      <c r="B640" s="76"/>
      <c r="C640" s="76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7"/>
      <c r="O640" s="38"/>
      <c r="P640" s="34"/>
      <c r="Q640" s="34"/>
      <c r="R640" s="76"/>
      <c r="S640" s="40"/>
      <c r="T640" s="42"/>
      <c r="U640" s="42"/>
      <c r="V640" s="32"/>
      <c r="W640" s="71"/>
      <c r="Y640" s="68"/>
      <c r="AA640" s="66"/>
    </row>
    <row r="641" spans="1:27" s="1" customFormat="1">
      <c r="A641" s="34"/>
      <c r="B641" s="76"/>
      <c r="C641" s="76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37"/>
      <c r="O641" s="38"/>
      <c r="P641" s="34"/>
      <c r="Q641" s="34"/>
      <c r="R641" s="76"/>
      <c r="S641" s="40"/>
      <c r="T641" s="42"/>
      <c r="U641" s="42"/>
      <c r="V641" s="32"/>
      <c r="W641" s="71"/>
      <c r="Y641" s="68"/>
      <c r="AA641" s="66"/>
    </row>
    <row r="642" spans="1:27" s="1" customFormat="1">
      <c r="A642" s="34"/>
      <c r="B642" s="76"/>
      <c r="C642" s="76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37"/>
      <c r="O642" s="38"/>
      <c r="P642" s="34"/>
      <c r="Q642" s="34"/>
      <c r="R642" s="76"/>
      <c r="S642" s="40"/>
      <c r="T642" s="42"/>
      <c r="U642" s="42"/>
      <c r="V642" s="32"/>
      <c r="W642" s="71"/>
      <c r="Y642" s="68"/>
      <c r="AA642" s="66"/>
    </row>
    <row r="643" spans="1:27" s="1" customFormat="1">
      <c r="A643" s="34"/>
      <c r="B643" s="76"/>
      <c r="C643" s="76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37"/>
      <c r="O643" s="38"/>
      <c r="P643" s="34"/>
      <c r="Q643" s="34"/>
      <c r="R643" s="76"/>
      <c r="S643" s="40"/>
      <c r="T643" s="42"/>
      <c r="U643" s="42"/>
      <c r="V643" s="32"/>
      <c r="W643" s="71"/>
      <c r="Y643" s="68"/>
      <c r="AA643" s="66"/>
    </row>
    <row r="644" spans="1:27" s="1" customFormat="1">
      <c r="A644" s="34"/>
      <c r="B644" s="76"/>
      <c r="C644" s="76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37"/>
      <c r="O644" s="38"/>
      <c r="P644" s="34"/>
      <c r="Q644" s="34"/>
      <c r="R644" s="76"/>
      <c r="S644" s="40"/>
      <c r="T644" s="42"/>
      <c r="U644" s="42"/>
      <c r="V644" s="32"/>
      <c r="W644" s="71"/>
      <c r="Y644" s="68"/>
      <c r="AA644" s="66"/>
    </row>
    <row r="645" spans="1:27" s="1" customFormat="1">
      <c r="A645" s="34"/>
      <c r="B645" s="76"/>
      <c r="C645" s="76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37"/>
      <c r="O645" s="38"/>
      <c r="P645" s="34"/>
      <c r="Q645" s="34"/>
      <c r="R645" s="76"/>
      <c r="S645" s="40"/>
      <c r="T645" s="42"/>
      <c r="U645" s="42"/>
      <c r="V645" s="32"/>
      <c r="W645" s="71"/>
      <c r="Y645" s="68"/>
      <c r="AA645" s="66"/>
    </row>
    <row r="646" spans="1:27" s="1" customFormat="1">
      <c r="A646" s="34"/>
      <c r="B646" s="76"/>
      <c r="C646" s="76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37"/>
      <c r="O646" s="38"/>
      <c r="P646" s="34"/>
      <c r="Q646" s="34"/>
      <c r="R646" s="76"/>
      <c r="S646" s="40"/>
      <c r="T646" s="42"/>
      <c r="U646" s="42"/>
      <c r="V646" s="32"/>
      <c r="W646" s="71"/>
      <c r="Y646" s="68"/>
      <c r="AA646" s="66"/>
    </row>
    <row r="647" spans="1:27" s="1" customFormat="1">
      <c r="A647" s="34"/>
      <c r="B647" s="76"/>
      <c r="C647" s="76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37"/>
      <c r="O647" s="38"/>
      <c r="P647" s="34"/>
      <c r="Q647" s="39"/>
      <c r="R647" s="84"/>
      <c r="S647" s="40"/>
      <c r="T647" s="42"/>
      <c r="U647" s="42"/>
      <c r="V647" s="32"/>
      <c r="W647" s="71"/>
      <c r="Y647" s="68"/>
      <c r="AA647" s="66"/>
    </row>
    <row r="648" spans="1:27" s="1" customFormat="1">
      <c r="A648" s="34"/>
      <c r="B648" s="76"/>
      <c r="C648" s="76"/>
      <c r="D648" s="43"/>
      <c r="E648" s="43"/>
      <c r="F648" s="43"/>
      <c r="G648" s="43"/>
      <c r="H648" s="43"/>
      <c r="I648" s="43"/>
      <c r="J648" s="43"/>
      <c r="K648" s="43"/>
      <c r="L648" s="43"/>
      <c r="M648" s="43"/>
      <c r="N648" s="37"/>
      <c r="O648" s="38"/>
      <c r="P648" s="34"/>
      <c r="Q648" s="39"/>
      <c r="R648" s="84"/>
      <c r="S648" s="40"/>
      <c r="T648" s="42"/>
      <c r="U648" s="42"/>
      <c r="V648" s="32"/>
      <c r="W648" s="71"/>
      <c r="Y648" s="68"/>
      <c r="AA648" s="66"/>
    </row>
    <row r="649" spans="1:27" s="1" customFormat="1">
      <c r="A649" s="34"/>
      <c r="B649" s="76"/>
      <c r="C649" s="76"/>
      <c r="D649" s="43"/>
      <c r="E649" s="43"/>
      <c r="F649" s="43"/>
      <c r="G649" s="43"/>
      <c r="H649" s="43"/>
      <c r="I649" s="43"/>
      <c r="J649" s="43"/>
      <c r="K649" s="43"/>
      <c r="L649" s="43"/>
      <c r="M649" s="43"/>
      <c r="N649" s="37"/>
      <c r="O649" s="38"/>
      <c r="P649" s="34"/>
      <c r="Q649" s="39"/>
      <c r="R649" s="84"/>
      <c r="S649" s="40"/>
      <c r="T649" s="42"/>
      <c r="U649" s="42"/>
      <c r="V649" s="32"/>
      <c r="W649" s="71"/>
      <c r="Y649" s="68"/>
      <c r="AA649" s="66"/>
    </row>
    <row r="650" spans="1:27" s="1" customFormat="1">
      <c r="A650" s="34"/>
      <c r="B650" s="76"/>
      <c r="C650" s="76"/>
      <c r="D650" s="43"/>
      <c r="E650" s="43"/>
      <c r="F650" s="43"/>
      <c r="G650" s="43"/>
      <c r="H650" s="43"/>
      <c r="I650" s="43"/>
      <c r="J650" s="43"/>
      <c r="K650" s="43"/>
      <c r="L650" s="43"/>
      <c r="M650" s="43"/>
      <c r="N650" s="37"/>
      <c r="O650" s="38"/>
      <c r="P650" s="34"/>
      <c r="Q650" s="34"/>
      <c r="R650" s="76"/>
      <c r="S650" s="40"/>
      <c r="T650" s="42"/>
      <c r="U650" s="42"/>
      <c r="V650" s="32"/>
      <c r="W650" s="71"/>
      <c r="Y650" s="68"/>
      <c r="AA650" s="66"/>
    </row>
    <row r="651" spans="1:27" s="1" customFormat="1">
      <c r="A651" s="34"/>
      <c r="B651" s="76"/>
      <c r="C651" s="76"/>
      <c r="D651" s="43"/>
      <c r="E651" s="43"/>
      <c r="F651" s="43"/>
      <c r="G651" s="43"/>
      <c r="H651" s="43"/>
      <c r="I651" s="43"/>
      <c r="J651" s="43"/>
      <c r="K651" s="43"/>
      <c r="L651" s="43"/>
      <c r="M651" s="43"/>
      <c r="N651" s="37"/>
      <c r="O651" s="38"/>
      <c r="P651" s="34"/>
      <c r="Q651" s="34"/>
      <c r="R651" s="76"/>
      <c r="S651" s="40"/>
      <c r="T651" s="42"/>
      <c r="U651" s="42"/>
      <c r="V651" s="32"/>
      <c r="W651" s="71"/>
      <c r="Y651" s="68"/>
      <c r="AA651" s="66"/>
    </row>
    <row r="652" spans="1:27" s="1" customFormat="1">
      <c r="A652" s="34"/>
      <c r="B652" s="76"/>
      <c r="C652" s="76"/>
      <c r="D652" s="43"/>
      <c r="E652" s="43"/>
      <c r="F652" s="43"/>
      <c r="G652" s="43"/>
      <c r="H652" s="43"/>
      <c r="I652" s="43"/>
      <c r="J652" s="43"/>
      <c r="K652" s="43"/>
      <c r="L652" s="43"/>
      <c r="M652" s="43"/>
      <c r="N652" s="37"/>
      <c r="O652" s="38"/>
      <c r="P652" s="34"/>
      <c r="Q652" s="34"/>
      <c r="R652" s="76"/>
      <c r="S652" s="40"/>
      <c r="T652" s="42"/>
      <c r="U652" s="42"/>
      <c r="V652" s="32"/>
      <c r="W652" s="71"/>
      <c r="Y652" s="68"/>
      <c r="AA652" s="66"/>
    </row>
    <row r="653" spans="1:27" s="1" customFormat="1">
      <c r="A653" s="34"/>
      <c r="B653" s="76"/>
      <c r="C653" s="76"/>
      <c r="D653" s="43"/>
      <c r="E653" s="43"/>
      <c r="F653" s="43"/>
      <c r="G653" s="43"/>
      <c r="H653" s="43"/>
      <c r="I653" s="43"/>
      <c r="J653" s="43"/>
      <c r="K653" s="43"/>
      <c r="L653" s="43"/>
      <c r="M653" s="43"/>
      <c r="N653" s="37"/>
      <c r="O653" s="38"/>
      <c r="P653" s="34"/>
      <c r="Q653" s="34"/>
      <c r="R653" s="76"/>
      <c r="S653" s="40"/>
      <c r="T653" s="42"/>
      <c r="U653" s="42"/>
      <c r="V653" s="32"/>
      <c r="W653" s="71"/>
      <c r="Y653" s="68"/>
      <c r="AA653" s="66"/>
    </row>
    <row r="654" spans="1:27" s="1" customFormat="1">
      <c r="A654" s="34"/>
      <c r="B654" s="76"/>
      <c r="C654" s="76"/>
      <c r="D654" s="43"/>
      <c r="E654" s="43"/>
      <c r="F654" s="43"/>
      <c r="G654" s="43"/>
      <c r="H654" s="43"/>
      <c r="I654" s="43"/>
      <c r="J654" s="43"/>
      <c r="K654" s="43"/>
      <c r="L654" s="43"/>
      <c r="M654" s="43"/>
      <c r="N654" s="37"/>
      <c r="O654" s="38"/>
      <c r="P654" s="34"/>
      <c r="Q654" s="34"/>
      <c r="R654" s="76"/>
      <c r="S654" s="40"/>
      <c r="T654" s="42"/>
      <c r="U654" s="42"/>
      <c r="V654" s="32"/>
      <c r="W654" s="71"/>
      <c r="Y654" s="68"/>
      <c r="AA654" s="66"/>
    </row>
    <row r="655" spans="1:27" s="1" customFormat="1" ht="17.45" customHeight="1">
      <c r="A655" s="34"/>
      <c r="B655" s="76"/>
      <c r="C655" s="76"/>
      <c r="D655" s="43"/>
      <c r="E655" s="43"/>
      <c r="F655" s="43"/>
      <c r="G655" s="43"/>
      <c r="H655" s="43"/>
      <c r="I655" s="43"/>
      <c r="J655" s="43"/>
      <c r="K655" s="43"/>
      <c r="L655" s="43"/>
      <c r="M655" s="43"/>
      <c r="N655" s="37"/>
      <c r="O655" s="38"/>
      <c r="P655" s="34"/>
      <c r="Q655" s="34"/>
      <c r="R655" s="76"/>
      <c r="S655" s="40"/>
      <c r="T655" s="42"/>
      <c r="U655" s="42"/>
      <c r="V655" s="32"/>
      <c r="W655" s="71"/>
      <c r="Y655" s="68"/>
      <c r="AA655" s="66"/>
    </row>
    <row r="656" spans="1:27" s="1" customFormat="1">
      <c r="A656" s="34"/>
      <c r="B656" s="76"/>
      <c r="C656" s="76"/>
      <c r="D656" s="43"/>
      <c r="E656" s="43"/>
      <c r="F656" s="43"/>
      <c r="G656" s="43"/>
      <c r="H656" s="43"/>
      <c r="I656" s="43"/>
      <c r="J656" s="43"/>
      <c r="K656" s="43"/>
      <c r="L656" s="43"/>
      <c r="M656" s="43"/>
      <c r="N656" s="37"/>
      <c r="O656" s="38"/>
      <c r="P656" s="34"/>
      <c r="Q656" s="34"/>
      <c r="R656" s="76"/>
      <c r="S656" s="40"/>
      <c r="T656" s="42"/>
      <c r="U656" s="42"/>
      <c r="V656" s="32"/>
      <c r="W656" s="71"/>
      <c r="Y656" s="68"/>
      <c r="AA656" s="66"/>
    </row>
    <row r="657" spans="1:27" s="1" customFormat="1">
      <c r="A657" s="34"/>
      <c r="B657" s="76"/>
      <c r="C657" s="76"/>
      <c r="D657" s="43"/>
      <c r="E657" s="43"/>
      <c r="F657" s="43"/>
      <c r="G657" s="43"/>
      <c r="H657" s="43"/>
      <c r="I657" s="43"/>
      <c r="J657" s="43"/>
      <c r="K657" s="43"/>
      <c r="L657" s="43"/>
      <c r="M657" s="43"/>
      <c r="N657" s="37"/>
      <c r="O657" s="38"/>
      <c r="P657" s="34"/>
      <c r="Q657" s="34"/>
      <c r="R657" s="76"/>
      <c r="S657" s="40"/>
      <c r="T657" s="42"/>
      <c r="U657" s="42"/>
      <c r="V657" s="32"/>
      <c r="W657" s="71"/>
      <c r="Y657" s="68"/>
      <c r="AA657" s="66"/>
    </row>
    <row r="658" spans="1:27" s="1" customFormat="1">
      <c r="A658" s="34"/>
      <c r="B658" s="76"/>
      <c r="C658" s="76"/>
      <c r="D658" s="43"/>
      <c r="E658" s="43"/>
      <c r="F658" s="43"/>
      <c r="G658" s="43"/>
      <c r="H658" s="43"/>
      <c r="I658" s="43"/>
      <c r="J658" s="43"/>
      <c r="K658" s="43"/>
      <c r="L658" s="43"/>
      <c r="M658" s="43"/>
      <c r="N658" s="37"/>
      <c r="O658" s="38"/>
      <c r="P658" s="34"/>
      <c r="Q658" s="34"/>
      <c r="R658" s="76"/>
      <c r="S658" s="40"/>
      <c r="T658" s="42"/>
      <c r="U658" s="42"/>
      <c r="V658" s="32"/>
      <c r="W658" s="71"/>
      <c r="Y658" s="68"/>
      <c r="AA658" s="66"/>
    </row>
    <row r="659" spans="1:27" s="1" customFormat="1">
      <c r="A659" s="34"/>
      <c r="B659" s="76"/>
      <c r="C659" s="76"/>
      <c r="D659" s="43"/>
      <c r="E659" s="43"/>
      <c r="F659" s="43"/>
      <c r="G659" s="43"/>
      <c r="H659" s="43"/>
      <c r="I659" s="43"/>
      <c r="J659" s="43"/>
      <c r="K659" s="43"/>
      <c r="L659" s="43"/>
      <c r="M659" s="43"/>
      <c r="N659" s="37"/>
      <c r="O659" s="38"/>
      <c r="P659" s="34"/>
      <c r="Q659" s="34"/>
      <c r="R659" s="76"/>
      <c r="S659" s="40"/>
      <c r="T659" s="42"/>
      <c r="U659" s="42"/>
      <c r="V659" s="32"/>
      <c r="W659" s="71"/>
      <c r="Y659" s="68"/>
      <c r="AA659" s="66"/>
    </row>
    <row r="660" spans="1:27" s="1" customFormat="1">
      <c r="A660" s="34"/>
      <c r="B660" s="76"/>
      <c r="C660" s="76"/>
      <c r="D660" s="43"/>
      <c r="E660" s="43"/>
      <c r="F660" s="43"/>
      <c r="G660" s="43"/>
      <c r="H660" s="43"/>
      <c r="I660" s="43"/>
      <c r="J660" s="43"/>
      <c r="K660" s="43"/>
      <c r="L660" s="43"/>
      <c r="M660" s="43"/>
      <c r="N660" s="37"/>
      <c r="O660" s="38"/>
      <c r="P660" s="34"/>
      <c r="Q660" s="34"/>
      <c r="R660" s="76"/>
      <c r="S660" s="40"/>
      <c r="T660" s="42"/>
      <c r="U660" s="42"/>
      <c r="V660" s="32"/>
      <c r="W660" s="71"/>
      <c r="Y660" s="68"/>
      <c r="AA660" s="66"/>
    </row>
    <row r="661" spans="1:27" s="1" customFormat="1">
      <c r="A661" s="34"/>
      <c r="B661" s="76"/>
      <c r="C661" s="76"/>
      <c r="D661" s="43"/>
      <c r="E661" s="43"/>
      <c r="F661" s="43"/>
      <c r="G661" s="43"/>
      <c r="H661" s="43"/>
      <c r="I661" s="43"/>
      <c r="J661" s="43"/>
      <c r="K661" s="43"/>
      <c r="L661" s="43"/>
      <c r="M661" s="43"/>
      <c r="N661" s="37"/>
      <c r="O661" s="38"/>
      <c r="P661" s="34"/>
      <c r="Q661" s="34"/>
      <c r="R661" s="76"/>
      <c r="S661" s="40"/>
      <c r="T661" s="42"/>
      <c r="U661" s="42"/>
      <c r="V661" s="32"/>
      <c r="W661" s="71"/>
      <c r="Y661" s="68"/>
      <c r="AA661" s="66"/>
    </row>
    <row r="662" spans="1:27" s="1" customFormat="1">
      <c r="A662" s="34"/>
      <c r="B662" s="76"/>
      <c r="C662" s="76"/>
      <c r="D662" s="43"/>
      <c r="E662" s="43"/>
      <c r="F662" s="43"/>
      <c r="G662" s="43"/>
      <c r="H662" s="43"/>
      <c r="I662" s="43"/>
      <c r="J662" s="43"/>
      <c r="K662" s="43"/>
      <c r="L662" s="43"/>
      <c r="M662" s="43"/>
      <c r="N662" s="37"/>
      <c r="O662" s="38"/>
      <c r="P662" s="34"/>
      <c r="Q662" s="34"/>
      <c r="R662" s="76"/>
      <c r="S662" s="40"/>
      <c r="T662" s="42"/>
      <c r="U662" s="42"/>
      <c r="V662" s="32"/>
      <c r="W662" s="71"/>
      <c r="Y662" s="68"/>
      <c r="AA662" s="66"/>
    </row>
    <row r="663" spans="1:27" s="1" customFormat="1">
      <c r="A663" s="34"/>
      <c r="B663" s="76"/>
      <c r="C663" s="76"/>
      <c r="D663" s="43"/>
      <c r="E663" s="43"/>
      <c r="F663" s="43"/>
      <c r="G663" s="43"/>
      <c r="H663" s="43"/>
      <c r="I663" s="43"/>
      <c r="J663" s="43"/>
      <c r="K663" s="43"/>
      <c r="L663" s="43"/>
      <c r="M663" s="43"/>
      <c r="N663" s="37"/>
      <c r="O663" s="38"/>
      <c r="P663" s="34"/>
      <c r="Q663" s="34"/>
      <c r="R663" s="76"/>
      <c r="S663" s="40"/>
      <c r="T663" s="42"/>
      <c r="U663" s="42"/>
      <c r="V663" s="32"/>
      <c r="W663" s="71"/>
      <c r="Y663" s="68"/>
      <c r="AA663" s="66"/>
    </row>
    <row r="664" spans="1:27" s="1" customFormat="1">
      <c r="A664" s="34"/>
      <c r="B664" s="76"/>
      <c r="C664" s="76"/>
      <c r="D664" s="43"/>
      <c r="E664" s="43"/>
      <c r="F664" s="43"/>
      <c r="G664" s="43"/>
      <c r="H664" s="43"/>
      <c r="I664" s="43"/>
      <c r="J664" s="43"/>
      <c r="K664" s="43"/>
      <c r="L664" s="43"/>
      <c r="M664" s="43"/>
      <c r="N664" s="37"/>
      <c r="O664" s="38"/>
      <c r="P664" s="34"/>
      <c r="Q664" s="34"/>
      <c r="R664" s="76"/>
      <c r="S664" s="40"/>
      <c r="T664" s="42"/>
      <c r="U664" s="42"/>
      <c r="V664" s="32"/>
      <c r="W664" s="71"/>
      <c r="Y664" s="68"/>
      <c r="AA664" s="66"/>
    </row>
    <row r="665" spans="1:27" s="1" customFormat="1">
      <c r="A665" s="34"/>
      <c r="B665" s="76"/>
      <c r="C665" s="76"/>
      <c r="D665" s="43"/>
      <c r="E665" s="43"/>
      <c r="F665" s="43"/>
      <c r="G665" s="43"/>
      <c r="H665" s="43"/>
      <c r="I665" s="43"/>
      <c r="J665" s="43"/>
      <c r="K665" s="43"/>
      <c r="L665" s="43"/>
      <c r="M665" s="43"/>
      <c r="N665" s="37"/>
      <c r="O665" s="38"/>
      <c r="P665" s="34"/>
      <c r="Q665" s="34"/>
      <c r="R665" s="76"/>
      <c r="S665" s="40"/>
      <c r="T665" s="42"/>
      <c r="U665" s="42"/>
      <c r="V665" s="32"/>
      <c r="W665" s="71"/>
      <c r="Y665" s="68"/>
      <c r="AA665" s="66"/>
    </row>
    <row r="666" spans="1:27" s="1" customFormat="1">
      <c r="A666" s="34"/>
      <c r="B666" s="76"/>
      <c r="C666" s="76"/>
      <c r="D666" s="43"/>
      <c r="E666" s="43"/>
      <c r="F666" s="43"/>
      <c r="G666" s="43"/>
      <c r="H666" s="43"/>
      <c r="I666" s="43"/>
      <c r="J666" s="43"/>
      <c r="K666" s="43"/>
      <c r="L666" s="43"/>
      <c r="M666" s="43"/>
      <c r="N666" s="37"/>
      <c r="O666" s="38"/>
      <c r="P666" s="34"/>
      <c r="Q666" s="34"/>
      <c r="R666" s="76"/>
      <c r="S666" s="40"/>
      <c r="T666" s="42"/>
      <c r="U666" s="42"/>
      <c r="V666" s="32"/>
      <c r="W666" s="71"/>
      <c r="Y666" s="68"/>
      <c r="AA666" s="66"/>
    </row>
    <row r="667" spans="1:27" s="1" customFormat="1">
      <c r="A667" s="34"/>
      <c r="B667" s="76"/>
      <c r="C667" s="76"/>
      <c r="D667" s="43"/>
      <c r="E667" s="43"/>
      <c r="F667" s="43"/>
      <c r="G667" s="43"/>
      <c r="H667" s="43"/>
      <c r="I667" s="43"/>
      <c r="J667" s="43"/>
      <c r="K667" s="43"/>
      <c r="L667" s="43"/>
      <c r="M667" s="43"/>
      <c r="N667" s="37"/>
      <c r="O667" s="38"/>
      <c r="P667" s="34"/>
      <c r="Q667" s="34"/>
      <c r="R667" s="76"/>
      <c r="S667" s="40"/>
      <c r="T667" s="42"/>
      <c r="U667" s="42"/>
      <c r="V667" s="32"/>
      <c r="W667" s="71"/>
      <c r="Y667" s="68"/>
      <c r="AA667" s="66"/>
    </row>
    <row r="668" spans="1:27" s="1" customFormat="1">
      <c r="A668" s="34"/>
      <c r="B668" s="76"/>
      <c r="C668" s="76"/>
      <c r="D668" s="43"/>
      <c r="E668" s="43"/>
      <c r="F668" s="43"/>
      <c r="G668" s="43"/>
      <c r="H668" s="43"/>
      <c r="I668" s="43"/>
      <c r="J668" s="43"/>
      <c r="K668" s="43"/>
      <c r="L668" s="43"/>
      <c r="M668" s="43"/>
      <c r="N668" s="37"/>
      <c r="O668" s="38"/>
      <c r="P668" s="34"/>
      <c r="Q668" s="34"/>
      <c r="R668" s="76"/>
      <c r="S668" s="40"/>
      <c r="T668" s="42"/>
      <c r="U668" s="42"/>
      <c r="V668" s="32"/>
      <c r="W668" s="71"/>
      <c r="Y668" s="68"/>
      <c r="AA668" s="66"/>
    </row>
    <row r="669" spans="1:27" s="1" customFormat="1">
      <c r="A669" s="34"/>
      <c r="B669" s="76"/>
      <c r="C669" s="76"/>
      <c r="D669" s="43"/>
      <c r="E669" s="43"/>
      <c r="F669" s="43"/>
      <c r="G669" s="43"/>
      <c r="H669" s="43"/>
      <c r="I669" s="43"/>
      <c r="J669" s="43"/>
      <c r="K669" s="43"/>
      <c r="L669" s="43"/>
      <c r="M669" s="43"/>
      <c r="N669" s="37"/>
      <c r="O669" s="38"/>
      <c r="P669" s="34"/>
      <c r="Q669" s="34"/>
      <c r="R669" s="76"/>
      <c r="S669" s="40"/>
      <c r="T669" s="42"/>
      <c r="U669" s="42"/>
      <c r="V669" s="32"/>
      <c r="W669" s="71"/>
      <c r="Y669" s="68"/>
      <c r="AA669" s="66"/>
    </row>
    <row r="670" spans="1:27" s="1" customFormat="1">
      <c r="A670" s="34"/>
      <c r="B670" s="76"/>
      <c r="C670" s="76"/>
      <c r="D670" s="43"/>
      <c r="E670" s="43"/>
      <c r="F670" s="43"/>
      <c r="G670" s="43"/>
      <c r="H670" s="43"/>
      <c r="I670" s="43"/>
      <c r="J670" s="43"/>
      <c r="K670" s="43"/>
      <c r="L670" s="43"/>
      <c r="M670" s="43"/>
      <c r="N670" s="37"/>
      <c r="O670" s="38"/>
      <c r="P670" s="34"/>
      <c r="Q670" s="34"/>
      <c r="R670" s="76"/>
      <c r="S670" s="40"/>
      <c r="T670" s="42"/>
      <c r="U670" s="42"/>
      <c r="V670" s="32"/>
      <c r="W670" s="71"/>
      <c r="Y670" s="68"/>
      <c r="AA670" s="66"/>
    </row>
    <row r="671" spans="1:27" s="1" customFormat="1">
      <c r="A671" s="34"/>
      <c r="B671" s="76"/>
      <c r="C671" s="76"/>
      <c r="D671" s="43"/>
      <c r="E671" s="43"/>
      <c r="F671" s="43"/>
      <c r="G671" s="43"/>
      <c r="H671" s="43"/>
      <c r="I671" s="43"/>
      <c r="J671" s="43"/>
      <c r="K671" s="43"/>
      <c r="L671" s="43"/>
      <c r="M671" s="43"/>
      <c r="N671" s="37"/>
      <c r="O671" s="38"/>
      <c r="P671" s="34"/>
      <c r="Q671" s="34"/>
      <c r="R671" s="76"/>
      <c r="S671" s="40"/>
      <c r="T671" s="42"/>
      <c r="U671" s="42"/>
      <c r="V671" s="32"/>
      <c r="W671" s="71"/>
      <c r="Y671" s="68"/>
      <c r="AA671" s="66"/>
    </row>
    <row r="672" spans="1:27" s="1" customFormat="1">
      <c r="A672" s="34"/>
      <c r="B672" s="76"/>
      <c r="C672" s="76"/>
      <c r="D672" s="43"/>
      <c r="E672" s="43"/>
      <c r="F672" s="43"/>
      <c r="G672" s="43"/>
      <c r="H672" s="43"/>
      <c r="I672" s="43"/>
      <c r="J672" s="43"/>
      <c r="K672" s="43"/>
      <c r="L672" s="43"/>
      <c r="M672" s="43"/>
      <c r="N672" s="37"/>
      <c r="O672" s="38"/>
      <c r="P672" s="34"/>
      <c r="Q672" s="34"/>
      <c r="R672" s="76"/>
      <c r="S672" s="40"/>
      <c r="T672" s="42"/>
      <c r="U672" s="42"/>
      <c r="V672" s="32"/>
      <c r="W672" s="71"/>
      <c r="Y672" s="68"/>
      <c r="AA672" s="66"/>
    </row>
    <row r="673" spans="1:27" s="1" customFormat="1">
      <c r="A673" s="34"/>
      <c r="B673" s="76"/>
      <c r="C673" s="76"/>
      <c r="D673" s="43"/>
      <c r="E673" s="43"/>
      <c r="F673" s="43"/>
      <c r="G673" s="43"/>
      <c r="H673" s="43"/>
      <c r="I673" s="43"/>
      <c r="J673" s="43"/>
      <c r="K673" s="43"/>
      <c r="L673" s="43"/>
      <c r="M673" s="43"/>
      <c r="N673" s="37"/>
      <c r="O673" s="38"/>
      <c r="P673" s="34"/>
      <c r="Q673" s="34"/>
      <c r="R673" s="76"/>
      <c r="S673" s="40"/>
      <c r="T673" s="42"/>
      <c r="U673" s="42"/>
      <c r="V673" s="32"/>
      <c r="W673" s="71"/>
      <c r="Y673" s="68"/>
      <c r="AA673" s="66"/>
    </row>
    <row r="674" spans="1:27" s="1" customFormat="1">
      <c r="A674" s="34"/>
      <c r="B674" s="76"/>
      <c r="C674" s="76"/>
      <c r="D674" s="43"/>
      <c r="E674" s="43"/>
      <c r="F674" s="43"/>
      <c r="G674" s="43"/>
      <c r="H674" s="43"/>
      <c r="I674" s="43"/>
      <c r="J674" s="43"/>
      <c r="K674" s="43"/>
      <c r="L674" s="43"/>
      <c r="M674" s="43"/>
      <c r="N674" s="37"/>
      <c r="O674" s="38"/>
      <c r="P674" s="34"/>
      <c r="Q674" s="34"/>
      <c r="R674" s="76"/>
      <c r="S674" s="40"/>
      <c r="T674" s="42"/>
      <c r="U674" s="42"/>
      <c r="V674" s="32"/>
      <c r="W674" s="71"/>
      <c r="Y674" s="68"/>
      <c r="AA674" s="66"/>
    </row>
    <row r="675" spans="1:27" s="1" customFormat="1">
      <c r="A675" s="34"/>
      <c r="B675" s="76"/>
      <c r="C675" s="76"/>
      <c r="D675" s="43"/>
      <c r="E675" s="43"/>
      <c r="F675" s="43"/>
      <c r="G675" s="43"/>
      <c r="H675" s="43"/>
      <c r="I675" s="43"/>
      <c r="J675" s="43"/>
      <c r="K675" s="43"/>
      <c r="L675" s="43"/>
      <c r="M675" s="43"/>
      <c r="N675" s="37"/>
      <c r="O675" s="38"/>
      <c r="P675" s="34"/>
      <c r="Q675" s="34"/>
      <c r="R675" s="76"/>
      <c r="S675" s="40"/>
      <c r="T675" s="42"/>
      <c r="U675" s="42"/>
      <c r="V675" s="32"/>
      <c r="W675" s="71"/>
      <c r="Y675" s="68"/>
      <c r="AA675" s="66"/>
    </row>
    <row r="676" spans="1:27" s="1" customFormat="1">
      <c r="A676" s="34"/>
      <c r="B676" s="76"/>
      <c r="C676" s="76"/>
      <c r="D676" s="43"/>
      <c r="E676" s="43"/>
      <c r="F676" s="43"/>
      <c r="G676" s="43"/>
      <c r="H676" s="43"/>
      <c r="I676" s="43"/>
      <c r="J676" s="43"/>
      <c r="K676" s="43"/>
      <c r="L676" s="43"/>
      <c r="M676" s="43"/>
      <c r="N676" s="37"/>
      <c r="O676" s="38"/>
      <c r="P676" s="34"/>
      <c r="Q676" s="34"/>
      <c r="R676" s="76"/>
      <c r="S676" s="40"/>
      <c r="T676" s="42"/>
      <c r="U676" s="42"/>
      <c r="V676" s="32"/>
      <c r="W676" s="71"/>
      <c r="Y676" s="68"/>
      <c r="AA676" s="66"/>
    </row>
    <row r="677" spans="1:27" s="1" customFormat="1">
      <c r="A677" s="34"/>
      <c r="B677" s="76"/>
      <c r="C677" s="76"/>
      <c r="D677" s="43"/>
      <c r="E677" s="43"/>
      <c r="F677" s="43"/>
      <c r="G677" s="43"/>
      <c r="H677" s="43"/>
      <c r="I677" s="43"/>
      <c r="J677" s="43"/>
      <c r="K677" s="43"/>
      <c r="L677" s="43"/>
      <c r="M677" s="43"/>
      <c r="N677" s="37"/>
      <c r="O677" s="38"/>
      <c r="P677" s="34"/>
      <c r="Q677" s="34"/>
      <c r="R677" s="76"/>
      <c r="S677" s="40"/>
      <c r="T677" s="42"/>
      <c r="U677" s="42"/>
      <c r="V677" s="32"/>
      <c r="W677" s="71"/>
      <c r="Y677" s="68"/>
      <c r="AA677" s="66"/>
    </row>
    <row r="678" spans="1:27" s="1" customFormat="1">
      <c r="A678" s="34"/>
      <c r="B678" s="76"/>
      <c r="C678" s="76"/>
      <c r="D678" s="43"/>
      <c r="E678" s="43"/>
      <c r="F678" s="43"/>
      <c r="G678" s="43"/>
      <c r="H678" s="43"/>
      <c r="I678" s="43"/>
      <c r="J678" s="43"/>
      <c r="K678" s="43"/>
      <c r="L678" s="43"/>
      <c r="M678" s="43"/>
      <c r="N678" s="37"/>
      <c r="O678" s="38"/>
      <c r="P678" s="34"/>
      <c r="Q678" s="34"/>
      <c r="R678" s="76"/>
      <c r="S678" s="40"/>
      <c r="T678" s="42"/>
      <c r="U678" s="42"/>
      <c r="V678" s="32"/>
      <c r="W678" s="71"/>
      <c r="Y678" s="68"/>
      <c r="AA678" s="66"/>
    </row>
    <row r="679" spans="1:27" s="1" customFormat="1">
      <c r="A679" s="34"/>
      <c r="B679" s="76"/>
      <c r="C679" s="76"/>
      <c r="D679" s="43"/>
      <c r="E679" s="43"/>
      <c r="F679" s="43"/>
      <c r="G679" s="43"/>
      <c r="H679" s="43"/>
      <c r="I679" s="43"/>
      <c r="J679" s="43"/>
      <c r="K679" s="43"/>
      <c r="L679" s="43"/>
      <c r="M679" s="43"/>
      <c r="N679" s="37"/>
      <c r="O679" s="38"/>
      <c r="P679" s="34"/>
      <c r="Q679" s="34"/>
      <c r="R679" s="76"/>
      <c r="S679" s="40"/>
      <c r="T679" s="42"/>
      <c r="U679" s="42"/>
      <c r="V679" s="32"/>
      <c r="W679" s="71"/>
      <c r="Y679" s="68"/>
      <c r="AA679" s="66"/>
    </row>
    <row r="680" spans="1:27" s="1" customFormat="1">
      <c r="A680" s="34"/>
      <c r="B680" s="76"/>
      <c r="C680" s="76"/>
      <c r="D680" s="43"/>
      <c r="E680" s="43"/>
      <c r="F680" s="43"/>
      <c r="G680" s="43"/>
      <c r="H680" s="43"/>
      <c r="I680" s="43"/>
      <c r="J680" s="43"/>
      <c r="K680" s="43"/>
      <c r="L680" s="43"/>
      <c r="M680" s="43"/>
      <c r="N680" s="37"/>
      <c r="O680" s="38"/>
      <c r="P680" s="34"/>
      <c r="Q680" s="34"/>
      <c r="R680" s="76"/>
      <c r="S680" s="40"/>
      <c r="T680" s="42"/>
      <c r="U680" s="42"/>
      <c r="V680" s="32"/>
      <c r="W680" s="71"/>
      <c r="Y680" s="68"/>
      <c r="AA680" s="66"/>
    </row>
    <row r="681" spans="1:27" s="1" customFormat="1">
      <c r="A681" s="34"/>
      <c r="B681" s="76"/>
      <c r="C681" s="76"/>
      <c r="D681" s="43"/>
      <c r="E681" s="43"/>
      <c r="F681" s="43"/>
      <c r="G681" s="43"/>
      <c r="H681" s="43"/>
      <c r="I681" s="43"/>
      <c r="J681" s="43"/>
      <c r="K681" s="43"/>
      <c r="L681" s="43"/>
      <c r="M681" s="43"/>
      <c r="N681" s="37"/>
      <c r="O681" s="38"/>
      <c r="P681" s="34"/>
      <c r="Q681" s="34"/>
      <c r="R681" s="76"/>
      <c r="S681" s="40"/>
      <c r="T681" s="42"/>
      <c r="U681" s="42"/>
      <c r="V681" s="32"/>
      <c r="W681" s="71"/>
      <c r="Y681" s="68"/>
      <c r="AA681" s="66"/>
    </row>
    <row r="682" spans="1:27" s="1" customFormat="1">
      <c r="A682" s="34"/>
      <c r="B682" s="76"/>
      <c r="C682" s="76"/>
      <c r="D682" s="43"/>
      <c r="E682" s="43"/>
      <c r="F682" s="43"/>
      <c r="G682" s="43"/>
      <c r="H682" s="43"/>
      <c r="I682" s="43"/>
      <c r="J682" s="43"/>
      <c r="K682" s="43"/>
      <c r="L682" s="43"/>
      <c r="M682" s="43"/>
      <c r="N682" s="37"/>
      <c r="O682" s="38"/>
      <c r="P682" s="34"/>
      <c r="Q682" s="34"/>
      <c r="R682" s="76"/>
      <c r="S682" s="40"/>
      <c r="T682" s="42"/>
      <c r="U682" s="42"/>
      <c r="V682" s="32"/>
      <c r="W682" s="71"/>
      <c r="Y682" s="68"/>
      <c r="AA682" s="66"/>
    </row>
    <row r="683" spans="1:27" s="1" customFormat="1">
      <c r="A683" s="34"/>
      <c r="B683" s="76"/>
      <c r="C683" s="76"/>
      <c r="D683" s="43"/>
      <c r="E683" s="43"/>
      <c r="F683" s="43"/>
      <c r="G683" s="43"/>
      <c r="H683" s="43"/>
      <c r="I683" s="43"/>
      <c r="J683" s="43"/>
      <c r="K683" s="43"/>
      <c r="L683" s="43"/>
      <c r="M683" s="43"/>
      <c r="N683" s="37"/>
      <c r="O683" s="38"/>
      <c r="P683" s="34"/>
      <c r="Q683" s="34"/>
      <c r="R683" s="76"/>
      <c r="S683" s="40"/>
      <c r="T683" s="42"/>
      <c r="U683" s="42"/>
      <c r="V683" s="32"/>
      <c r="W683" s="71"/>
      <c r="Y683" s="68"/>
      <c r="AA683" s="66"/>
    </row>
    <row r="684" spans="1:27" s="1" customFormat="1">
      <c r="A684" s="34"/>
      <c r="B684" s="76"/>
      <c r="C684" s="76"/>
      <c r="D684" s="43"/>
      <c r="E684" s="43"/>
      <c r="F684" s="43"/>
      <c r="G684" s="43"/>
      <c r="H684" s="43"/>
      <c r="I684" s="43"/>
      <c r="J684" s="43"/>
      <c r="K684" s="43"/>
      <c r="L684" s="43"/>
      <c r="M684" s="43"/>
      <c r="N684" s="37"/>
      <c r="O684" s="38"/>
      <c r="P684" s="34"/>
      <c r="Q684" s="34"/>
      <c r="R684" s="76"/>
      <c r="S684" s="40"/>
      <c r="T684" s="42"/>
      <c r="U684" s="42"/>
      <c r="V684" s="32"/>
      <c r="W684" s="71"/>
      <c r="Y684" s="68"/>
      <c r="AA684" s="66"/>
    </row>
    <row r="685" spans="1:27" s="1" customFormat="1">
      <c r="A685" s="34"/>
      <c r="B685" s="76"/>
      <c r="C685" s="76"/>
      <c r="D685" s="43"/>
      <c r="E685" s="43"/>
      <c r="F685" s="43"/>
      <c r="G685" s="43"/>
      <c r="H685" s="43"/>
      <c r="I685" s="43"/>
      <c r="J685" s="43"/>
      <c r="K685" s="43"/>
      <c r="L685" s="43"/>
      <c r="M685" s="43"/>
      <c r="N685" s="37"/>
      <c r="O685" s="38"/>
      <c r="P685" s="34"/>
      <c r="Q685" s="34"/>
      <c r="R685" s="76"/>
      <c r="S685" s="40"/>
      <c r="T685" s="42"/>
      <c r="U685" s="42"/>
      <c r="V685" s="32"/>
      <c r="W685" s="71"/>
      <c r="Y685" s="68"/>
      <c r="AA685" s="66"/>
    </row>
    <row r="686" spans="1:27" s="1" customFormat="1">
      <c r="A686" s="34"/>
      <c r="B686" s="76"/>
      <c r="C686" s="76"/>
      <c r="D686" s="43"/>
      <c r="E686" s="43"/>
      <c r="F686" s="43"/>
      <c r="G686" s="43"/>
      <c r="H686" s="43"/>
      <c r="I686" s="43"/>
      <c r="J686" s="43"/>
      <c r="K686" s="43"/>
      <c r="L686" s="43"/>
      <c r="M686" s="43"/>
      <c r="N686" s="37"/>
      <c r="O686" s="38"/>
      <c r="P686" s="34"/>
      <c r="Q686" s="34"/>
      <c r="R686" s="76"/>
      <c r="S686" s="40"/>
      <c r="T686" s="42"/>
      <c r="U686" s="42"/>
      <c r="V686" s="32"/>
      <c r="W686" s="71"/>
      <c r="Y686" s="68"/>
      <c r="AA686" s="66"/>
    </row>
    <row r="687" spans="1:27" s="1" customFormat="1">
      <c r="A687" s="34"/>
      <c r="B687" s="76"/>
      <c r="C687" s="76"/>
      <c r="D687" s="43"/>
      <c r="E687" s="43"/>
      <c r="F687" s="43"/>
      <c r="G687" s="43"/>
      <c r="H687" s="43"/>
      <c r="I687" s="43"/>
      <c r="J687" s="43"/>
      <c r="K687" s="43"/>
      <c r="L687" s="43"/>
      <c r="M687" s="43"/>
      <c r="N687" s="37"/>
      <c r="O687" s="38"/>
      <c r="P687" s="34"/>
      <c r="Q687" s="34"/>
      <c r="R687" s="76"/>
      <c r="S687" s="40"/>
      <c r="T687" s="42"/>
      <c r="U687" s="42"/>
      <c r="V687" s="32"/>
      <c r="W687" s="71"/>
      <c r="Y687" s="68"/>
      <c r="AA687" s="66"/>
    </row>
    <row r="688" spans="1:27" s="1" customFormat="1">
      <c r="A688" s="34"/>
      <c r="B688" s="76"/>
      <c r="C688" s="76"/>
      <c r="D688" s="43"/>
      <c r="E688" s="43"/>
      <c r="F688" s="43"/>
      <c r="G688" s="43"/>
      <c r="H688" s="43"/>
      <c r="I688" s="43"/>
      <c r="J688" s="43"/>
      <c r="K688" s="43"/>
      <c r="L688" s="43"/>
      <c r="M688" s="43"/>
      <c r="N688" s="37"/>
      <c r="O688" s="38"/>
      <c r="P688" s="34"/>
      <c r="Q688" s="34"/>
      <c r="R688" s="76"/>
      <c r="S688" s="40"/>
      <c r="T688" s="42"/>
      <c r="U688" s="42"/>
      <c r="V688" s="32"/>
      <c r="W688" s="71"/>
      <c r="Y688" s="68"/>
      <c r="AA688" s="66"/>
    </row>
    <row r="689" spans="1:27" s="1" customFormat="1">
      <c r="A689" s="34"/>
      <c r="B689" s="76"/>
      <c r="C689" s="76"/>
      <c r="D689" s="43"/>
      <c r="E689" s="43"/>
      <c r="F689" s="43"/>
      <c r="G689" s="43"/>
      <c r="H689" s="43"/>
      <c r="I689" s="43"/>
      <c r="J689" s="43"/>
      <c r="K689" s="43"/>
      <c r="L689" s="43"/>
      <c r="M689" s="43"/>
      <c r="N689" s="37"/>
      <c r="O689" s="38"/>
      <c r="P689" s="34"/>
      <c r="Q689" s="34"/>
      <c r="R689" s="76"/>
      <c r="S689" s="40"/>
      <c r="T689" s="42"/>
      <c r="U689" s="42"/>
      <c r="V689" s="32"/>
      <c r="W689" s="71"/>
      <c r="Y689" s="68"/>
      <c r="AA689" s="66"/>
    </row>
    <row r="690" spans="1:27" s="1" customFormat="1">
      <c r="A690" s="34"/>
      <c r="B690" s="76"/>
      <c r="C690" s="76"/>
      <c r="D690" s="43"/>
      <c r="E690" s="43"/>
      <c r="F690" s="43"/>
      <c r="G690" s="43"/>
      <c r="H690" s="43"/>
      <c r="I690" s="43"/>
      <c r="J690" s="43"/>
      <c r="K690" s="43"/>
      <c r="L690" s="43"/>
      <c r="M690" s="43"/>
      <c r="N690" s="37"/>
      <c r="O690" s="38"/>
      <c r="P690" s="34"/>
      <c r="Q690" s="34"/>
      <c r="R690" s="76"/>
      <c r="S690" s="40"/>
      <c r="T690" s="42"/>
      <c r="U690" s="42"/>
      <c r="V690" s="32"/>
      <c r="W690" s="71"/>
      <c r="Y690" s="68"/>
      <c r="AA690" s="66"/>
    </row>
    <row r="691" spans="1:27" s="1" customFormat="1">
      <c r="A691" s="34"/>
      <c r="B691" s="76"/>
      <c r="C691" s="76"/>
      <c r="D691" s="43"/>
      <c r="E691" s="43"/>
      <c r="F691" s="43"/>
      <c r="G691" s="43"/>
      <c r="H691" s="43"/>
      <c r="I691" s="43"/>
      <c r="J691" s="43"/>
      <c r="K691" s="43"/>
      <c r="L691" s="43"/>
      <c r="M691" s="43"/>
      <c r="N691" s="37"/>
      <c r="O691" s="38"/>
      <c r="P691" s="34"/>
      <c r="Q691" s="34"/>
      <c r="R691" s="76"/>
      <c r="S691" s="40"/>
      <c r="T691" s="42"/>
      <c r="U691" s="42"/>
      <c r="V691" s="32"/>
      <c r="W691" s="71"/>
      <c r="Y691" s="68"/>
      <c r="AA691" s="66"/>
    </row>
    <row r="692" spans="1:27" s="1" customFormat="1">
      <c r="A692" s="34"/>
      <c r="B692" s="76"/>
      <c r="C692" s="76"/>
      <c r="D692" s="43"/>
      <c r="E692" s="43"/>
      <c r="F692" s="43"/>
      <c r="G692" s="43"/>
      <c r="H692" s="43"/>
      <c r="I692" s="43"/>
      <c r="J692" s="43"/>
      <c r="K692" s="43"/>
      <c r="L692" s="43"/>
      <c r="M692" s="43"/>
      <c r="N692" s="37"/>
      <c r="O692" s="38"/>
      <c r="P692" s="34"/>
      <c r="Q692" s="34"/>
      <c r="R692" s="76"/>
      <c r="S692" s="40"/>
      <c r="T692" s="42"/>
      <c r="U692" s="42"/>
      <c r="V692" s="32"/>
      <c r="W692" s="71"/>
      <c r="Y692" s="68"/>
      <c r="AA692" s="66"/>
    </row>
    <row r="693" spans="1:27" s="1" customFormat="1">
      <c r="A693" s="34"/>
      <c r="B693" s="76"/>
      <c r="C693" s="76"/>
      <c r="D693" s="43"/>
      <c r="E693" s="43"/>
      <c r="F693" s="43"/>
      <c r="G693" s="43"/>
      <c r="H693" s="43"/>
      <c r="I693" s="43"/>
      <c r="J693" s="43"/>
      <c r="K693" s="43"/>
      <c r="L693" s="43"/>
      <c r="M693" s="43"/>
      <c r="N693" s="37"/>
      <c r="O693" s="38"/>
      <c r="P693" s="34"/>
      <c r="Q693" s="34"/>
      <c r="R693" s="76"/>
      <c r="S693" s="40"/>
      <c r="T693" s="42"/>
      <c r="U693" s="42"/>
      <c r="V693" s="32"/>
      <c r="W693" s="71"/>
      <c r="Y693" s="68"/>
      <c r="AA693" s="66"/>
    </row>
    <row r="694" spans="1:27" s="1" customFormat="1">
      <c r="A694" s="34"/>
      <c r="B694" s="76"/>
      <c r="C694" s="76"/>
      <c r="D694" s="43"/>
      <c r="E694" s="43"/>
      <c r="F694" s="43"/>
      <c r="G694" s="43"/>
      <c r="H694" s="43"/>
      <c r="I694" s="43"/>
      <c r="J694" s="43"/>
      <c r="K694" s="43"/>
      <c r="L694" s="43"/>
      <c r="M694" s="43"/>
      <c r="N694" s="37"/>
      <c r="O694" s="38"/>
      <c r="P694" s="34"/>
      <c r="Q694" s="34"/>
      <c r="R694" s="76"/>
      <c r="S694" s="40"/>
      <c r="T694" s="42"/>
      <c r="U694" s="42"/>
      <c r="V694" s="32"/>
      <c r="W694" s="71"/>
      <c r="Y694" s="68"/>
      <c r="AA694" s="66"/>
    </row>
    <row r="695" spans="1:27" s="1" customFormat="1">
      <c r="A695" s="34"/>
      <c r="B695" s="76"/>
      <c r="C695" s="76"/>
      <c r="D695" s="43"/>
      <c r="E695" s="43"/>
      <c r="F695" s="43"/>
      <c r="G695" s="43"/>
      <c r="H695" s="43"/>
      <c r="I695" s="43"/>
      <c r="J695" s="43"/>
      <c r="K695" s="43"/>
      <c r="L695" s="43"/>
      <c r="M695" s="43"/>
      <c r="N695" s="37"/>
      <c r="O695" s="38"/>
      <c r="P695" s="34"/>
      <c r="Q695" s="34"/>
      <c r="R695" s="76"/>
      <c r="S695" s="40"/>
      <c r="T695" s="42"/>
      <c r="U695" s="42"/>
      <c r="V695" s="32"/>
      <c r="W695" s="71"/>
      <c r="Y695" s="68"/>
      <c r="AA695" s="66"/>
    </row>
    <row r="696" spans="1:27" s="1" customFormat="1">
      <c r="A696" s="34"/>
      <c r="B696" s="76"/>
      <c r="C696" s="76"/>
      <c r="D696" s="43"/>
      <c r="E696" s="43"/>
      <c r="F696" s="43"/>
      <c r="G696" s="43"/>
      <c r="H696" s="43"/>
      <c r="I696" s="43"/>
      <c r="J696" s="43"/>
      <c r="K696" s="43"/>
      <c r="L696" s="43"/>
      <c r="M696" s="43"/>
      <c r="N696" s="37"/>
      <c r="O696" s="38"/>
      <c r="P696" s="34"/>
      <c r="Q696" s="34"/>
      <c r="R696" s="76"/>
      <c r="S696" s="40"/>
      <c r="T696" s="42"/>
      <c r="U696" s="42"/>
      <c r="V696" s="32"/>
      <c r="W696" s="71"/>
      <c r="Y696" s="68"/>
      <c r="AA696" s="66"/>
    </row>
    <row r="697" spans="1:27" s="1" customFormat="1">
      <c r="A697" s="34"/>
      <c r="B697" s="76"/>
      <c r="C697" s="76"/>
      <c r="D697" s="43"/>
      <c r="E697" s="43"/>
      <c r="F697" s="43"/>
      <c r="G697" s="43"/>
      <c r="H697" s="43"/>
      <c r="I697" s="43"/>
      <c r="J697" s="43"/>
      <c r="K697" s="43"/>
      <c r="L697" s="43"/>
      <c r="M697" s="43"/>
      <c r="N697" s="37"/>
      <c r="O697" s="38"/>
      <c r="P697" s="34"/>
      <c r="Q697" s="34"/>
      <c r="R697" s="76"/>
      <c r="S697" s="40"/>
      <c r="T697" s="42"/>
      <c r="U697" s="42"/>
      <c r="V697" s="32"/>
      <c r="W697" s="71"/>
      <c r="Y697" s="68"/>
      <c r="AA697" s="66"/>
    </row>
    <row r="698" spans="1:27" s="1" customFormat="1">
      <c r="A698" s="34"/>
      <c r="B698" s="76"/>
      <c r="C698" s="76"/>
      <c r="D698" s="43"/>
      <c r="E698" s="43"/>
      <c r="F698" s="43"/>
      <c r="G698" s="43"/>
      <c r="H698" s="43"/>
      <c r="I698" s="43"/>
      <c r="J698" s="43"/>
      <c r="K698" s="43"/>
      <c r="L698" s="43"/>
      <c r="M698" s="43"/>
      <c r="N698" s="37"/>
      <c r="O698" s="38"/>
      <c r="P698" s="34"/>
      <c r="Q698" s="34"/>
      <c r="R698" s="76"/>
      <c r="S698" s="40"/>
      <c r="T698" s="42"/>
      <c r="U698" s="42"/>
      <c r="V698" s="32"/>
      <c r="W698" s="71"/>
      <c r="Y698" s="68"/>
      <c r="AA698" s="66"/>
    </row>
    <row r="699" spans="1:27" s="1" customFormat="1">
      <c r="A699" s="34"/>
      <c r="B699" s="76"/>
      <c r="C699" s="76"/>
      <c r="D699" s="43"/>
      <c r="E699" s="43"/>
      <c r="F699" s="43"/>
      <c r="G699" s="43"/>
      <c r="H699" s="43"/>
      <c r="I699" s="43"/>
      <c r="J699" s="43"/>
      <c r="K699" s="43"/>
      <c r="L699" s="43"/>
      <c r="M699" s="43"/>
      <c r="N699" s="37"/>
      <c r="O699" s="38"/>
      <c r="P699" s="34"/>
      <c r="Q699" s="34"/>
      <c r="R699" s="76"/>
      <c r="S699" s="40"/>
      <c r="T699" s="42"/>
      <c r="U699" s="42"/>
      <c r="V699" s="32"/>
      <c r="W699" s="71"/>
      <c r="Y699" s="68"/>
      <c r="AA699" s="66"/>
    </row>
    <row r="700" spans="1:27" s="1" customFormat="1">
      <c r="A700" s="34"/>
      <c r="B700" s="76"/>
      <c r="C700" s="76"/>
      <c r="D700" s="43"/>
      <c r="E700" s="43"/>
      <c r="F700" s="43"/>
      <c r="G700" s="43"/>
      <c r="H700" s="43"/>
      <c r="I700" s="43"/>
      <c r="J700" s="43"/>
      <c r="K700" s="43"/>
      <c r="L700" s="43"/>
      <c r="M700" s="43"/>
      <c r="N700" s="37"/>
      <c r="O700" s="38"/>
      <c r="P700" s="34"/>
      <c r="Q700" s="34"/>
      <c r="R700" s="76"/>
      <c r="S700" s="40"/>
      <c r="T700" s="42"/>
      <c r="U700" s="42"/>
      <c r="V700" s="32"/>
      <c r="W700" s="71"/>
      <c r="Y700" s="68"/>
      <c r="AA700" s="66"/>
    </row>
    <row r="701" spans="1:27" s="1" customFormat="1">
      <c r="A701" s="34"/>
      <c r="B701" s="76"/>
      <c r="C701" s="76"/>
      <c r="D701" s="43"/>
      <c r="E701" s="43"/>
      <c r="F701" s="43"/>
      <c r="G701" s="43"/>
      <c r="H701" s="43"/>
      <c r="I701" s="43"/>
      <c r="J701" s="43"/>
      <c r="K701" s="43"/>
      <c r="L701" s="43"/>
      <c r="M701" s="43"/>
      <c r="N701" s="37"/>
      <c r="O701" s="38"/>
      <c r="P701" s="34"/>
      <c r="Q701" s="34"/>
      <c r="R701" s="76"/>
      <c r="S701" s="40"/>
      <c r="T701" s="42"/>
      <c r="U701" s="42"/>
      <c r="V701" s="32"/>
      <c r="W701" s="71"/>
      <c r="Y701" s="68"/>
      <c r="AA701" s="66"/>
    </row>
    <row r="702" spans="1:27" s="1" customFormat="1">
      <c r="A702" s="34"/>
      <c r="B702" s="76"/>
      <c r="C702" s="76"/>
      <c r="D702" s="43"/>
      <c r="E702" s="43"/>
      <c r="F702" s="43"/>
      <c r="G702" s="43"/>
      <c r="H702" s="43"/>
      <c r="I702" s="43"/>
      <c r="J702" s="43"/>
      <c r="K702" s="43"/>
      <c r="L702" s="43"/>
      <c r="M702" s="43"/>
      <c r="N702" s="37"/>
      <c r="O702" s="38"/>
      <c r="P702" s="34"/>
      <c r="Q702" s="34"/>
      <c r="R702" s="76"/>
      <c r="S702" s="40"/>
      <c r="T702" s="42"/>
      <c r="U702" s="42"/>
      <c r="V702" s="32"/>
      <c r="W702" s="71"/>
      <c r="Y702" s="68"/>
      <c r="AA702" s="66"/>
    </row>
    <row r="703" spans="1:27" s="1" customFormat="1">
      <c r="A703" s="34"/>
      <c r="B703" s="76"/>
      <c r="C703" s="76"/>
      <c r="D703" s="43"/>
      <c r="E703" s="43"/>
      <c r="F703" s="43"/>
      <c r="G703" s="43"/>
      <c r="H703" s="43"/>
      <c r="I703" s="43"/>
      <c r="J703" s="43"/>
      <c r="K703" s="43"/>
      <c r="L703" s="43"/>
      <c r="M703" s="43"/>
      <c r="N703" s="37"/>
      <c r="O703" s="38"/>
      <c r="P703" s="34"/>
      <c r="Q703" s="34"/>
      <c r="R703" s="76"/>
      <c r="S703" s="40"/>
      <c r="T703" s="42"/>
      <c r="U703" s="42"/>
      <c r="V703" s="32"/>
      <c r="W703" s="71"/>
      <c r="Y703" s="68"/>
      <c r="AA703" s="66"/>
    </row>
    <row r="704" spans="1:27" s="1" customFormat="1">
      <c r="A704" s="34"/>
      <c r="B704" s="76"/>
      <c r="C704" s="76"/>
      <c r="D704" s="43"/>
      <c r="E704" s="43"/>
      <c r="F704" s="43"/>
      <c r="G704" s="43"/>
      <c r="H704" s="43"/>
      <c r="I704" s="43"/>
      <c r="J704" s="43"/>
      <c r="K704" s="43"/>
      <c r="L704" s="43"/>
      <c r="M704" s="43"/>
      <c r="N704" s="37"/>
      <c r="O704" s="38"/>
      <c r="P704" s="34"/>
      <c r="Q704" s="34"/>
      <c r="R704" s="76"/>
      <c r="S704" s="40"/>
      <c r="T704" s="42"/>
      <c r="U704" s="42"/>
      <c r="V704" s="32"/>
      <c r="W704" s="71"/>
      <c r="Y704" s="68"/>
      <c r="AA704" s="66"/>
    </row>
    <row r="705" spans="1:27" s="1" customFormat="1">
      <c r="A705" s="34"/>
      <c r="B705" s="76"/>
      <c r="C705" s="76"/>
      <c r="D705" s="43"/>
      <c r="E705" s="43"/>
      <c r="F705" s="43"/>
      <c r="G705" s="43"/>
      <c r="H705" s="43"/>
      <c r="I705" s="43"/>
      <c r="J705" s="43"/>
      <c r="K705" s="43"/>
      <c r="L705" s="43"/>
      <c r="M705" s="43"/>
      <c r="N705" s="37"/>
      <c r="O705" s="38"/>
      <c r="P705" s="34"/>
      <c r="Q705" s="34"/>
      <c r="R705" s="76"/>
      <c r="S705" s="40"/>
      <c r="T705" s="42"/>
      <c r="U705" s="42"/>
      <c r="V705" s="32"/>
      <c r="W705" s="71"/>
      <c r="Y705" s="68"/>
      <c r="AA705" s="66"/>
    </row>
    <row r="706" spans="1:27">
      <c r="A706" s="34"/>
      <c r="B706" s="76"/>
      <c r="C706" s="76"/>
      <c r="D706" s="43"/>
      <c r="E706" s="43"/>
      <c r="F706" s="43"/>
      <c r="G706" s="43"/>
      <c r="H706" s="43"/>
      <c r="I706" s="43"/>
      <c r="J706" s="43"/>
      <c r="K706" s="43"/>
      <c r="L706" s="43"/>
      <c r="M706" s="43"/>
      <c r="N706" s="37"/>
      <c r="O706" s="38"/>
      <c r="P706" s="34"/>
      <c r="Q706" s="34"/>
      <c r="R706" s="76"/>
      <c r="S706" s="40"/>
      <c r="T706" s="42"/>
      <c r="U706" s="42"/>
    </row>
    <row r="707" spans="1:27">
      <c r="A707" s="34"/>
      <c r="B707" s="76"/>
      <c r="C707" s="76"/>
      <c r="D707" s="43"/>
      <c r="E707" s="43"/>
      <c r="F707" s="43"/>
      <c r="G707" s="43"/>
      <c r="H707" s="43"/>
      <c r="I707" s="43"/>
      <c r="J707" s="43"/>
      <c r="K707" s="43"/>
      <c r="L707" s="43"/>
      <c r="M707" s="43"/>
      <c r="N707" s="37"/>
      <c r="O707" s="38"/>
      <c r="P707" s="34"/>
      <c r="Q707" s="34"/>
      <c r="R707" s="76"/>
      <c r="S707" s="40"/>
      <c r="T707" s="42"/>
      <c r="U707" s="42"/>
    </row>
    <row r="708" spans="1:27">
      <c r="A708" s="34"/>
      <c r="B708" s="76"/>
      <c r="C708" s="76"/>
      <c r="D708" s="43"/>
      <c r="E708" s="43"/>
      <c r="F708" s="43"/>
      <c r="G708" s="43"/>
      <c r="H708" s="43"/>
      <c r="I708" s="43"/>
      <c r="J708" s="43"/>
      <c r="K708" s="43"/>
      <c r="L708" s="43"/>
      <c r="M708" s="43"/>
      <c r="N708" s="37"/>
      <c r="O708" s="38"/>
      <c r="P708" s="34"/>
      <c r="Q708" s="34"/>
      <c r="R708" s="76"/>
      <c r="S708" s="40"/>
      <c r="T708" s="42"/>
      <c r="U708" s="42"/>
    </row>
    <row r="709" spans="1:27">
      <c r="A709" s="34"/>
      <c r="B709" s="76"/>
      <c r="C709" s="76"/>
      <c r="D709" s="43"/>
      <c r="E709" s="43"/>
      <c r="F709" s="43"/>
      <c r="G709" s="43"/>
      <c r="H709" s="43"/>
      <c r="I709" s="43"/>
      <c r="J709" s="43"/>
      <c r="K709" s="43"/>
      <c r="L709" s="43"/>
      <c r="M709" s="43"/>
      <c r="N709" s="37"/>
      <c r="O709" s="38"/>
      <c r="P709" s="34"/>
      <c r="Q709" s="34"/>
      <c r="R709" s="76"/>
      <c r="S709" s="40"/>
      <c r="T709" s="42"/>
      <c r="U709" s="42"/>
    </row>
    <row r="710" spans="1:27">
      <c r="A710" s="34"/>
      <c r="B710" s="76"/>
      <c r="C710" s="76"/>
      <c r="D710" s="43"/>
      <c r="E710" s="43"/>
      <c r="F710" s="43"/>
      <c r="G710" s="43"/>
      <c r="H710" s="43"/>
      <c r="I710" s="43"/>
      <c r="J710" s="43"/>
      <c r="K710" s="43"/>
      <c r="L710" s="43"/>
      <c r="M710" s="43"/>
      <c r="N710" s="37"/>
      <c r="O710" s="38"/>
      <c r="P710" s="34"/>
      <c r="Q710" s="34"/>
      <c r="R710" s="76"/>
      <c r="S710" s="40"/>
      <c r="T710" s="42"/>
      <c r="U710" s="42"/>
    </row>
    <row r="711" spans="1:27">
      <c r="A711" s="34"/>
      <c r="B711" s="76"/>
      <c r="C711" s="76"/>
      <c r="D711" s="43"/>
      <c r="E711" s="43"/>
      <c r="F711" s="43"/>
      <c r="G711" s="43"/>
      <c r="H711" s="43"/>
      <c r="I711" s="43"/>
      <c r="J711" s="43"/>
      <c r="K711" s="43"/>
      <c r="L711" s="43"/>
      <c r="M711" s="43"/>
      <c r="N711" s="37"/>
      <c r="O711" s="38"/>
      <c r="P711" s="34"/>
      <c r="Q711" s="34"/>
      <c r="R711" s="76"/>
      <c r="S711" s="40"/>
      <c r="T711" s="42"/>
      <c r="U711" s="42"/>
    </row>
    <row r="712" spans="1:27">
      <c r="A712" s="34"/>
      <c r="B712" s="76"/>
      <c r="C712" s="76"/>
      <c r="D712" s="43"/>
      <c r="E712" s="43"/>
      <c r="F712" s="43"/>
      <c r="G712" s="43"/>
      <c r="H712" s="43"/>
      <c r="I712" s="43"/>
      <c r="J712" s="43"/>
      <c r="K712" s="43"/>
      <c r="L712" s="43"/>
      <c r="M712" s="43"/>
      <c r="N712" s="37"/>
      <c r="O712" s="38"/>
      <c r="P712" s="34"/>
      <c r="Q712" s="34"/>
      <c r="R712" s="76"/>
      <c r="S712" s="40"/>
      <c r="T712" s="42"/>
      <c r="U712" s="42"/>
    </row>
    <row r="713" spans="1:27">
      <c r="A713" s="34"/>
      <c r="B713" s="76"/>
      <c r="C713" s="76"/>
      <c r="D713" s="43"/>
      <c r="E713" s="43"/>
      <c r="F713" s="43"/>
      <c r="G713" s="43"/>
      <c r="H713" s="43"/>
      <c r="I713" s="43"/>
      <c r="J713" s="43"/>
      <c r="K713" s="43"/>
      <c r="L713" s="43"/>
      <c r="M713" s="43"/>
      <c r="N713" s="37"/>
      <c r="O713" s="38"/>
      <c r="P713" s="34"/>
      <c r="Q713" s="34"/>
      <c r="R713" s="76"/>
      <c r="S713" s="40"/>
      <c r="T713" s="42"/>
      <c r="U713" s="42"/>
    </row>
    <row r="714" spans="1:27" s="31" customFormat="1">
      <c r="A714" s="34"/>
      <c r="B714" s="76"/>
      <c r="C714" s="76"/>
      <c r="D714" s="43"/>
      <c r="E714" s="43"/>
      <c r="F714" s="43"/>
      <c r="G714" s="43"/>
      <c r="H714" s="43"/>
      <c r="I714" s="43"/>
      <c r="J714" s="43"/>
      <c r="K714" s="43"/>
      <c r="L714" s="43"/>
      <c r="M714" s="43"/>
      <c r="N714" s="37"/>
      <c r="O714" s="38"/>
      <c r="P714" s="34"/>
      <c r="Q714" s="34"/>
      <c r="R714" s="76"/>
      <c r="S714" s="40"/>
      <c r="T714" s="42"/>
      <c r="U714" s="42"/>
      <c r="W714" s="73"/>
      <c r="X714"/>
      <c r="Y714" s="69"/>
      <c r="Z714"/>
      <c r="AA714" s="33"/>
    </row>
    <row r="715" spans="1:27" s="31" customFormat="1">
      <c r="A715" s="34"/>
      <c r="B715" s="76"/>
      <c r="C715" s="76"/>
      <c r="D715" s="43"/>
      <c r="E715" s="43"/>
      <c r="F715" s="43"/>
      <c r="G715" s="43"/>
      <c r="H715" s="43"/>
      <c r="I715" s="43"/>
      <c r="J715" s="43"/>
      <c r="K715" s="43"/>
      <c r="L715" s="43"/>
      <c r="M715" s="43"/>
      <c r="N715" s="37"/>
      <c r="O715" s="38"/>
      <c r="P715" s="34"/>
      <c r="Q715" s="34"/>
      <c r="R715" s="76"/>
      <c r="S715" s="40"/>
      <c r="T715" s="42"/>
      <c r="U715" s="42"/>
      <c r="W715" s="73"/>
      <c r="X715"/>
      <c r="Y715" s="69"/>
      <c r="Z715"/>
      <c r="AA715" s="33"/>
    </row>
    <row r="716" spans="1:27" s="31" customFormat="1">
      <c r="A716" s="34"/>
      <c r="B716" s="76"/>
      <c r="C716" s="76"/>
      <c r="D716" s="43"/>
      <c r="E716" s="43"/>
      <c r="F716" s="43"/>
      <c r="G716" s="43"/>
      <c r="H716" s="43"/>
      <c r="I716" s="43"/>
      <c r="J716" s="43"/>
      <c r="K716" s="43"/>
      <c r="L716" s="43"/>
      <c r="M716" s="43"/>
      <c r="N716" s="37"/>
      <c r="O716" s="38"/>
      <c r="P716" s="34"/>
      <c r="Q716" s="34"/>
      <c r="R716" s="76"/>
      <c r="S716" s="40"/>
      <c r="T716" s="42"/>
      <c r="U716" s="42"/>
      <c r="W716" s="73"/>
      <c r="X716"/>
      <c r="Y716" s="69"/>
      <c r="Z716"/>
      <c r="AA716" s="33"/>
    </row>
    <row r="717" spans="1:27" s="31" customFormat="1">
      <c r="A717" s="34"/>
      <c r="B717" s="76"/>
      <c r="C717" s="76"/>
      <c r="D717" s="43"/>
      <c r="E717" s="43"/>
      <c r="F717" s="43"/>
      <c r="G717" s="43"/>
      <c r="H717" s="43"/>
      <c r="I717" s="43"/>
      <c r="J717" s="43"/>
      <c r="K717" s="43"/>
      <c r="L717" s="43"/>
      <c r="M717" s="43"/>
      <c r="N717" s="37"/>
      <c r="O717" s="38"/>
      <c r="P717" s="34"/>
      <c r="Q717" s="34"/>
      <c r="R717" s="76"/>
      <c r="S717" s="40"/>
      <c r="T717" s="42"/>
      <c r="U717" s="42"/>
      <c r="W717" s="73"/>
      <c r="X717"/>
      <c r="Y717" s="69"/>
      <c r="Z717"/>
      <c r="AA717" s="33"/>
    </row>
    <row r="718" spans="1:27" s="31" customFormat="1">
      <c r="A718" s="34"/>
      <c r="B718" s="76"/>
      <c r="C718" s="76"/>
      <c r="D718" s="43"/>
      <c r="E718" s="43"/>
      <c r="F718" s="43"/>
      <c r="G718" s="43"/>
      <c r="H718" s="43"/>
      <c r="I718" s="43"/>
      <c r="J718" s="43"/>
      <c r="K718" s="43"/>
      <c r="L718" s="43"/>
      <c r="M718" s="43"/>
      <c r="N718" s="37"/>
      <c r="O718" s="38"/>
      <c r="P718" s="34"/>
      <c r="Q718" s="39"/>
      <c r="R718" s="84"/>
      <c r="S718" s="40"/>
      <c r="T718" s="42"/>
      <c r="U718" s="42"/>
      <c r="W718" s="73"/>
      <c r="X718"/>
      <c r="Y718" s="69"/>
      <c r="Z718"/>
      <c r="AA718" s="33"/>
    </row>
    <row r="719" spans="1:27" s="31" customFormat="1">
      <c r="A719" s="34"/>
      <c r="B719" s="76"/>
      <c r="C719" s="76"/>
      <c r="D719" s="43"/>
      <c r="E719" s="43"/>
      <c r="F719" s="43"/>
      <c r="G719" s="43"/>
      <c r="H719" s="43"/>
      <c r="I719" s="43"/>
      <c r="J719" s="43"/>
      <c r="K719" s="43"/>
      <c r="L719" s="43"/>
      <c r="M719" s="43"/>
      <c r="N719" s="37"/>
      <c r="O719" s="38"/>
      <c r="P719" s="34"/>
      <c r="Q719" s="39"/>
      <c r="R719" s="84"/>
      <c r="S719" s="40"/>
      <c r="T719" s="42"/>
      <c r="U719" s="42"/>
      <c r="W719" s="73"/>
      <c r="X719"/>
      <c r="Y719" s="69"/>
      <c r="Z719"/>
      <c r="AA719" s="33"/>
    </row>
    <row r="720" spans="1:27" s="31" customFormat="1">
      <c r="A720" s="34"/>
      <c r="B720" s="76"/>
      <c r="C720" s="76"/>
      <c r="D720" s="43"/>
      <c r="E720" s="43"/>
      <c r="F720" s="43"/>
      <c r="G720" s="43"/>
      <c r="H720" s="43"/>
      <c r="I720" s="43"/>
      <c r="J720" s="43"/>
      <c r="K720" s="43"/>
      <c r="L720" s="43"/>
      <c r="M720" s="43"/>
      <c r="N720" s="37"/>
      <c r="O720" s="38"/>
      <c r="P720" s="34"/>
      <c r="Q720" s="39"/>
      <c r="R720" s="84"/>
      <c r="S720" s="40"/>
      <c r="T720" s="42"/>
      <c r="U720" s="42"/>
      <c r="W720" s="73"/>
      <c r="X720"/>
      <c r="Y720" s="69"/>
      <c r="Z720"/>
      <c r="AA720" s="33"/>
    </row>
    <row r="721" spans="1:27" s="31" customFormat="1">
      <c r="A721" s="34"/>
      <c r="B721" s="76"/>
      <c r="C721" s="76"/>
      <c r="D721" s="43"/>
      <c r="E721" s="43"/>
      <c r="F721" s="43"/>
      <c r="G721" s="43"/>
      <c r="H721" s="43"/>
      <c r="I721" s="43"/>
      <c r="J721" s="43"/>
      <c r="K721" s="43"/>
      <c r="L721" s="43"/>
      <c r="M721" s="43"/>
      <c r="N721" s="37"/>
      <c r="O721" s="38"/>
      <c r="P721" s="34"/>
      <c r="Q721" s="39"/>
      <c r="R721" s="84"/>
      <c r="S721" s="40"/>
      <c r="T721" s="42"/>
      <c r="U721" s="42"/>
      <c r="W721" s="73"/>
      <c r="X721"/>
      <c r="Y721" s="69"/>
      <c r="Z721"/>
      <c r="AA721" s="33"/>
    </row>
    <row r="722" spans="1:27" s="31" customFormat="1">
      <c r="A722" s="34"/>
      <c r="B722" s="76"/>
      <c r="C722" s="76"/>
      <c r="D722" s="43"/>
      <c r="E722" s="43"/>
      <c r="F722" s="43"/>
      <c r="G722" s="43"/>
      <c r="H722" s="43"/>
      <c r="I722" s="43"/>
      <c r="J722" s="43"/>
      <c r="K722" s="43"/>
      <c r="L722" s="43"/>
      <c r="M722" s="43"/>
      <c r="N722" s="37"/>
      <c r="O722" s="38"/>
      <c r="P722" s="34"/>
      <c r="Q722" s="39"/>
      <c r="R722" s="84"/>
      <c r="S722" s="40"/>
      <c r="T722" s="42"/>
      <c r="U722" s="42"/>
      <c r="W722" s="73"/>
      <c r="X722"/>
      <c r="Y722" s="69"/>
      <c r="Z722"/>
      <c r="AA722" s="33"/>
    </row>
    <row r="723" spans="1:27" s="31" customFormat="1">
      <c r="A723" s="34"/>
      <c r="B723" s="76"/>
      <c r="C723" s="76"/>
      <c r="D723" s="43"/>
      <c r="E723" s="43"/>
      <c r="F723" s="43"/>
      <c r="G723" s="43"/>
      <c r="H723" s="43"/>
      <c r="I723" s="43"/>
      <c r="J723" s="43"/>
      <c r="K723" s="43"/>
      <c r="L723" s="43"/>
      <c r="M723" s="43"/>
      <c r="N723" s="37"/>
      <c r="O723" s="38"/>
      <c r="P723" s="34"/>
      <c r="Q723" s="39"/>
      <c r="R723" s="84"/>
      <c r="S723" s="40"/>
      <c r="T723" s="42"/>
      <c r="U723" s="42"/>
      <c r="W723" s="73"/>
      <c r="X723"/>
      <c r="Y723" s="69"/>
      <c r="Z723"/>
      <c r="AA723" s="33"/>
    </row>
    <row r="724" spans="1:27" s="31" customFormat="1">
      <c r="A724" s="34"/>
      <c r="B724" s="76"/>
      <c r="C724" s="76"/>
      <c r="D724" s="43"/>
      <c r="E724" s="43"/>
      <c r="F724" s="43"/>
      <c r="G724" s="43"/>
      <c r="H724" s="43"/>
      <c r="I724" s="43"/>
      <c r="J724" s="43"/>
      <c r="K724" s="43"/>
      <c r="L724" s="43"/>
      <c r="M724" s="43"/>
      <c r="N724" s="37"/>
      <c r="O724" s="38"/>
      <c r="P724" s="34"/>
      <c r="Q724" s="39"/>
      <c r="R724" s="84"/>
      <c r="S724" s="40"/>
      <c r="T724" s="42"/>
      <c r="U724" s="42"/>
      <c r="W724" s="73"/>
      <c r="X724"/>
      <c r="Y724" s="69"/>
      <c r="Z724"/>
      <c r="AA724" s="33"/>
    </row>
    <row r="725" spans="1:27" s="31" customFormat="1">
      <c r="A725" s="34"/>
      <c r="B725" s="76"/>
      <c r="C725" s="76"/>
      <c r="D725" s="43"/>
      <c r="E725" s="43"/>
      <c r="F725" s="43"/>
      <c r="G725" s="43"/>
      <c r="H725" s="43"/>
      <c r="I725" s="43"/>
      <c r="J725" s="43"/>
      <c r="K725" s="43"/>
      <c r="L725" s="43"/>
      <c r="M725" s="43"/>
      <c r="N725" s="37"/>
      <c r="O725" s="38"/>
      <c r="P725" s="34"/>
      <c r="Q725" s="39"/>
      <c r="R725" s="84"/>
      <c r="S725" s="40"/>
      <c r="T725" s="42"/>
      <c r="U725" s="42"/>
      <c r="W725" s="73"/>
      <c r="X725"/>
      <c r="Y725" s="69"/>
      <c r="Z725"/>
      <c r="AA725" s="33"/>
    </row>
    <row r="726" spans="1:27" s="31" customFormat="1">
      <c r="A726" s="34"/>
      <c r="B726" s="76"/>
      <c r="C726" s="76"/>
      <c r="D726" s="43"/>
      <c r="E726" s="43"/>
      <c r="F726" s="43"/>
      <c r="G726" s="43"/>
      <c r="H726" s="43"/>
      <c r="I726" s="43"/>
      <c r="J726" s="43"/>
      <c r="K726" s="43"/>
      <c r="L726" s="43"/>
      <c r="M726" s="43"/>
      <c r="N726" s="37"/>
      <c r="O726" s="38"/>
      <c r="P726" s="34"/>
      <c r="Q726" s="39"/>
      <c r="R726" s="84"/>
      <c r="S726" s="40"/>
      <c r="T726" s="42"/>
      <c r="U726" s="42"/>
      <c r="W726" s="73"/>
      <c r="X726"/>
      <c r="Y726" s="69"/>
      <c r="Z726"/>
      <c r="AA726" s="33"/>
    </row>
    <row r="727" spans="1:27" s="31" customFormat="1">
      <c r="A727" s="34"/>
      <c r="B727" s="76"/>
      <c r="C727" s="76"/>
      <c r="D727" s="43"/>
      <c r="E727" s="43"/>
      <c r="F727" s="43"/>
      <c r="G727" s="43"/>
      <c r="H727" s="43"/>
      <c r="I727" s="43"/>
      <c r="J727" s="43"/>
      <c r="K727" s="43"/>
      <c r="L727" s="43"/>
      <c r="M727" s="43"/>
      <c r="N727" s="37"/>
      <c r="O727" s="38"/>
      <c r="P727" s="34"/>
      <c r="Q727" s="39"/>
      <c r="R727" s="84"/>
      <c r="S727" s="40"/>
      <c r="T727" s="42"/>
      <c r="U727" s="42"/>
      <c r="W727" s="73"/>
      <c r="X727"/>
      <c r="Y727" s="69"/>
      <c r="Z727"/>
      <c r="AA727" s="33"/>
    </row>
    <row r="728" spans="1:27" s="31" customFormat="1">
      <c r="A728" s="34"/>
      <c r="B728" s="76"/>
      <c r="C728" s="76"/>
      <c r="D728" s="43"/>
      <c r="E728" s="43"/>
      <c r="F728" s="43"/>
      <c r="G728" s="43"/>
      <c r="H728" s="43"/>
      <c r="I728" s="43"/>
      <c r="J728" s="43"/>
      <c r="K728" s="43"/>
      <c r="L728" s="43"/>
      <c r="M728" s="43"/>
      <c r="N728" s="37"/>
      <c r="O728" s="38"/>
      <c r="P728" s="34"/>
      <c r="Q728" s="39"/>
      <c r="R728" s="84"/>
      <c r="S728" s="40"/>
      <c r="T728" s="42"/>
      <c r="U728" s="42"/>
      <c r="W728" s="73"/>
      <c r="X728"/>
      <c r="Y728" s="69"/>
      <c r="Z728"/>
      <c r="AA728" s="33"/>
    </row>
    <row r="729" spans="1:27" s="31" customFormat="1">
      <c r="A729" s="34"/>
      <c r="B729" s="76"/>
      <c r="C729" s="76"/>
      <c r="D729" s="43"/>
      <c r="E729" s="43"/>
      <c r="F729" s="43"/>
      <c r="G729" s="43"/>
      <c r="H729" s="43"/>
      <c r="I729" s="43"/>
      <c r="J729" s="43"/>
      <c r="K729" s="43"/>
      <c r="L729" s="43"/>
      <c r="M729" s="43"/>
      <c r="N729" s="37"/>
      <c r="O729" s="38"/>
      <c r="P729" s="34"/>
      <c r="Q729" s="39"/>
      <c r="R729" s="84"/>
      <c r="S729" s="40"/>
      <c r="T729" s="42"/>
      <c r="U729" s="42"/>
      <c r="W729" s="73"/>
      <c r="X729"/>
      <c r="Y729" s="69"/>
      <c r="Z729"/>
      <c r="AA729" s="33"/>
    </row>
    <row r="730" spans="1:27" s="31" customFormat="1">
      <c r="A730" s="34"/>
      <c r="B730" s="76"/>
      <c r="C730" s="76"/>
      <c r="D730" s="43"/>
      <c r="E730" s="43"/>
      <c r="F730" s="43"/>
      <c r="G730" s="43"/>
      <c r="H730" s="43"/>
      <c r="I730" s="43"/>
      <c r="J730" s="43"/>
      <c r="K730" s="43"/>
      <c r="L730" s="43"/>
      <c r="M730" s="43"/>
      <c r="N730" s="37"/>
      <c r="O730" s="38"/>
      <c r="P730" s="34"/>
      <c r="Q730" s="39"/>
      <c r="R730" s="84"/>
      <c r="S730" s="40"/>
      <c r="T730" s="42"/>
      <c r="U730" s="42"/>
      <c r="W730" s="73"/>
      <c r="X730"/>
      <c r="Y730" s="69"/>
      <c r="Z730"/>
      <c r="AA730" s="33"/>
    </row>
    <row r="731" spans="1:27" s="31" customFormat="1">
      <c r="A731" s="34"/>
      <c r="B731" s="76"/>
      <c r="C731" s="76"/>
      <c r="D731" s="43"/>
      <c r="E731" s="43"/>
      <c r="F731" s="43"/>
      <c r="G731" s="43"/>
      <c r="H731" s="43"/>
      <c r="I731" s="43"/>
      <c r="J731" s="43"/>
      <c r="K731" s="43"/>
      <c r="L731" s="43"/>
      <c r="M731" s="43"/>
      <c r="N731" s="37"/>
      <c r="O731" s="38"/>
      <c r="P731" s="34"/>
      <c r="Q731" s="39"/>
      <c r="R731" s="84"/>
      <c r="S731" s="40"/>
      <c r="T731" s="42"/>
      <c r="U731" s="42"/>
      <c r="W731" s="73"/>
      <c r="X731"/>
      <c r="Y731" s="69"/>
      <c r="Z731"/>
      <c r="AA731" s="33"/>
    </row>
    <row r="732" spans="1:27" s="31" customFormat="1">
      <c r="A732" s="34"/>
      <c r="B732" s="76"/>
      <c r="C732" s="76"/>
      <c r="D732" s="43"/>
      <c r="E732" s="43"/>
      <c r="F732" s="43"/>
      <c r="G732" s="43"/>
      <c r="H732" s="43"/>
      <c r="I732" s="43"/>
      <c r="J732" s="43"/>
      <c r="K732" s="43"/>
      <c r="L732" s="43"/>
      <c r="M732" s="43"/>
      <c r="N732" s="37"/>
      <c r="O732" s="38"/>
      <c r="P732" s="34"/>
      <c r="Q732" s="39"/>
      <c r="R732" s="84"/>
      <c r="S732" s="40"/>
      <c r="T732" s="42"/>
      <c r="U732" s="42"/>
      <c r="W732" s="73"/>
      <c r="X732"/>
      <c r="Y732" s="69"/>
      <c r="Z732"/>
      <c r="AA732" s="33"/>
    </row>
    <row r="733" spans="1:27" s="31" customFormat="1">
      <c r="A733" s="34"/>
      <c r="B733" s="76"/>
      <c r="C733" s="76"/>
      <c r="D733" s="43"/>
      <c r="E733" s="43"/>
      <c r="F733" s="43"/>
      <c r="G733" s="43"/>
      <c r="H733" s="43"/>
      <c r="I733" s="43"/>
      <c r="J733" s="43"/>
      <c r="K733" s="43"/>
      <c r="L733" s="43"/>
      <c r="M733" s="43"/>
      <c r="N733" s="37"/>
      <c r="O733" s="38"/>
      <c r="P733" s="34"/>
      <c r="Q733" s="39"/>
      <c r="R733" s="84"/>
      <c r="S733" s="40"/>
      <c r="T733" s="42"/>
      <c r="U733" s="42"/>
      <c r="W733" s="73"/>
      <c r="X733"/>
      <c r="Y733" s="69"/>
      <c r="Z733"/>
      <c r="AA733" s="33"/>
    </row>
    <row r="734" spans="1:27" s="31" customFormat="1">
      <c r="A734" s="34"/>
      <c r="B734" s="76"/>
      <c r="C734" s="76"/>
      <c r="D734" s="43"/>
      <c r="E734" s="43"/>
      <c r="F734" s="43"/>
      <c r="G734" s="43"/>
      <c r="H734" s="43"/>
      <c r="I734" s="43"/>
      <c r="J734" s="43"/>
      <c r="K734" s="43"/>
      <c r="L734" s="43"/>
      <c r="M734" s="43"/>
      <c r="N734" s="37"/>
      <c r="O734" s="38"/>
      <c r="P734" s="34"/>
      <c r="Q734" s="39"/>
      <c r="R734" s="84"/>
      <c r="S734" s="40"/>
      <c r="T734" s="42"/>
      <c r="U734" s="42"/>
      <c r="W734" s="73"/>
      <c r="X734"/>
      <c r="Y734" s="69"/>
      <c r="Z734"/>
      <c r="AA734" s="33"/>
    </row>
    <row r="735" spans="1:27" s="31" customFormat="1">
      <c r="A735" s="34"/>
      <c r="B735" s="76"/>
      <c r="C735" s="76"/>
      <c r="D735" s="43"/>
      <c r="E735" s="43"/>
      <c r="F735" s="43"/>
      <c r="G735" s="43"/>
      <c r="H735" s="43"/>
      <c r="I735" s="43"/>
      <c r="J735" s="43"/>
      <c r="K735" s="43"/>
      <c r="L735" s="43"/>
      <c r="M735" s="43"/>
      <c r="N735" s="37"/>
      <c r="O735" s="38"/>
      <c r="P735" s="34"/>
      <c r="Q735" s="39"/>
      <c r="R735" s="84"/>
      <c r="S735" s="40"/>
      <c r="T735" s="42"/>
      <c r="U735" s="42"/>
      <c r="W735" s="73"/>
      <c r="X735"/>
      <c r="Y735" s="69"/>
      <c r="Z735"/>
      <c r="AA735" s="33"/>
    </row>
    <row r="736" spans="1:27" s="31" customFormat="1">
      <c r="A736" s="34"/>
      <c r="B736" s="76"/>
      <c r="C736" s="76"/>
      <c r="D736" s="43"/>
      <c r="E736" s="43"/>
      <c r="F736" s="43"/>
      <c r="G736" s="43"/>
      <c r="H736" s="43"/>
      <c r="I736" s="43"/>
      <c r="J736" s="43"/>
      <c r="K736" s="43"/>
      <c r="L736" s="43"/>
      <c r="M736" s="43"/>
      <c r="N736" s="37"/>
      <c r="O736" s="38"/>
      <c r="P736" s="34"/>
      <c r="Q736" s="39"/>
      <c r="R736" s="84"/>
      <c r="S736" s="40"/>
      <c r="T736" s="42"/>
      <c r="U736" s="42"/>
      <c r="W736" s="73"/>
      <c r="X736"/>
      <c r="Y736" s="69"/>
      <c r="Z736"/>
      <c r="AA736" s="33"/>
    </row>
    <row r="737" spans="1:27" s="31" customFormat="1">
      <c r="A737" s="34"/>
      <c r="B737" s="76"/>
      <c r="C737" s="76"/>
      <c r="D737" s="43"/>
      <c r="E737" s="43"/>
      <c r="F737" s="43"/>
      <c r="G737" s="43"/>
      <c r="H737" s="43"/>
      <c r="I737" s="43"/>
      <c r="J737" s="43"/>
      <c r="K737" s="43"/>
      <c r="L737" s="43"/>
      <c r="M737" s="43"/>
      <c r="N737" s="37"/>
      <c r="O737" s="38"/>
      <c r="P737" s="34"/>
      <c r="Q737" s="39"/>
      <c r="R737" s="84"/>
      <c r="S737" s="40"/>
      <c r="T737" s="42"/>
      <c r="U737" s="42"/>
      <c r="W737" s="73"/>
      <c r="X737"/>
      <c r="Y737" s="69"/>
      <c r="Z737"/>
      <c r="AA737" s="33"/>
    </row>
    <row r="738" spans="1:27" s="31" customFormat="1">
      <c r="A738" s="34"/>
      <c r="B738" s="76"/>
      <c r="C738" s="76"/>
      <c r="D738" s="43"/>
      <c r="E738" s="43"/>
      <c r="F738" s="43"/>
      <c r="G738" s="43"/>
      <c r="H738" s="43"/>
      <c r="I738" s="43"/>
      <c r="J738" s="43"/>
      <c r="K738" s="43"/>
      <c r="L738" s="43"/>
      <c r="M738" s="43"/>
      <c r="N738" s="37"/>
      <c r="O738" s="38"/>
      <c r="P738" s="34"/>
      <c r="Q738" s="39"/>
      <c r="R738" s="84"/>
      <c r="S738" s="40"/>
      <c r="T738" s="42"/>
      <c r="U738" s="42"/>
      <c r="W738" s="73"/>
      <c r="X738"/>
      <c r="Y738" s="69"/>
      <c r="Z738"/>
      <c r="AA738" s="33"/>
    </row>
    <row r="739" spans="1:27" s="31" customFormat="1">
      <c r="A739" s="34"/>
      <c r="B739" s="76"/>
      <c r="C739" s="76"/>
      <c r="D739" s="43"/>
      <c r="E739" s="43"/>
      <c r="F739" s="43"/>
      <c r="G739" s="43"/>
      <c r="H739" s="43"/>
      <c r="I739" s="43"/>
      <c r="J739" s="43"/>
      <c r="K739" s="43"/>
      <c r="L739" s="43"/>
      <c r="M739" s="43"/>
      <c r="N739" s="37"/>
      <c r="O739" s="38"/>
      <c r="P739" s="34"/>
      <c r="Q739" s="39"/>
      <c r="R739" s="84"/>
      <c r="S739" s="40"/>
      <c r="T739" s="42"/>
      <c r="U739" s="42"/>
      <c r="W739" s="73"/>
      <c r="X739"/>
      <c r="Y739" s="69"/>
      <c r="Z739"/>
      <c r="AA739" s="33"/>
    </row>
    <row r="740" spans="1:27" s="31" customFormat="1">
      <c r="A740" s="34"/>
      <c r="B740" s="76"/>
      <c r="C740" s="76"/>
      <c r="D740" s="43"/>
      <c r="E740" s="43"/>
      <c r="F740" s="43"/>
      <c r="G740" s="43"/>
      <c r="H740" s="43"/>
      <c r="I740" s="43"/>
      <c r="J740" s="43"/>
      <c r="K740" s="43"/>
      <c r="L740" s="43"/>
      <c r="M740" s="43"/>
      <c r="N740" s="37"/>
      <c r="O740" s="38"/>
      <c r="P740" s="34"/>
      <c r="Q740" s="39"/>
      <c r="R740" s="84"/>
      <c r="S740" s="40"/>
      <c r="T740" s="42"/>
      <c r="U740" s="42"/>
      <c r="W740" s="73"/>
      <c r="X740"/>
      <c r="Y740" s="69"/>
      <c r="Z740"/>
      <c r="AA740" s="33"/>
    </row>
    <row r="741" spans="1:27" s="31" customFormat="1">
      <c r="A741" s="34"/>
      <c r="B741" s="76"/>
      <c r="C741" s="76"/>
      <c r="D741" s="43"/>
      <c r="E741" s="43"/>
      <c r="F741" s="43"/>
      <c r="G741" s="43"/>
      <c r="H741" s="43"/>
      <c r="I741" s="43"/>
      <c r="J741" s="43"/>
      <c r="K741" s="43"/>
      <c r="L741" s="43"/>
      <c r="M741" s="43"/>
      <c r="N741" s="37"/>
      <c r="O741" s="38"/>
      <c r="P741" s="34"/>
      <c r="Q741" s="39"/>
      <c r="R741" s="84"/>
      <c r="S741" s="40"/>
      <c r="T741" s="42"/>
      <c r="U741" s="42"/>
      <c r="W741" s="73"/>
      <c r="X741"/>
      <c r="Y741" s="69"/>
      <c r="Z741"/>
      <c r="AA741" s="33"/>
    </row>
    <row r="742" spans="1:27" s="31" customFormat="1">
      <c r="A742" s="34"/>
      <c r="B742" s="76"/>
      <c r="C742" s="76"/>
      <c r="D742" s="43"/>
      <c r="E742" s="43"/>
      <c r="F742" s="43"/>
      <c r="G742" s="43"/>
      <c r="H742" s="43"/>
      <c r="I742" s="43"/>
      <c r="J742" s="43"/>
      <c r="K742" s="43"/>
      <c r="L742" s="43"/>
      <c r="M742" s="43"/>
      <c r="N742" s="37"/>
      <c r="O742" s="38"/>
      <c r="P742" s="34"/>
      <c r="Q742" s="39"/>
      <c r="R742" s="84"/>
      <c r="S742" s="40"/>
      <c r="T742" s="42"/>
      <c r="U742" s="42"/>
      <c r="W742" s="73"/>
      <c r="X742"/>
      <c r="Y742" s="69"/>
      <c r="Z742"/>
      <c r="AA742" s="33"/>
    </row>
    <row r="743" spans="1:27" s="31" customFormat="1">
      <c r="A743" s="34"/>
      <c r="B743" s="76"/>
      <c r="C743" s="76"/>
      <c r="D743" s="43"/>
      <c r="E743" s="43"/>
      <c r="F743" s="43"/>
      <c r="G743" s="43"/>
      <c r="H743" s="43"/>
      <c r="I743" s="43"/>
      <c r="J743" s="43"/>
      <c r="K743" s="43"/>
      <c r="L743" s="43"/>
      <c r="M743" s="43"/>
      <c r="N743" s="37"/>
      <c r="O743" s="38"/>
      <c r="P743" s="34"/>
      <c r="Q743" s="39"/>
      <c r="R743" s="84"/>
      <c r="S743" s="40"/>
      <c r="T743" s="42"/>
      <c r="U743" s="42"/>
      <c r="W743" s="73"/>
      <c r="X743"/>
      <c r="Y743" s="69"/>
      <c r="Z743"/>
      <c r="AA743" s="33"/>
    </row>
    <row r="744" spans="1:27" s="31" customFormat="1">
      <c r="A744" s="34"/>
      <c r="B744" s="76"/>
      <c r="C744" s="76"/>
      <c r="D744" s="43"/>
      <c r="E744" s="43"/>
      <c r="F744" s="43"/>
      <c r="G744" s="43"/>
      <c r="H744" s="43"/>
      <c r="I744" s="43"/>
      <c r="J744" s="43"/>
      <c r="K744" s="43"/>
      <c r="L744" s="43"/>
      <c r="M744" s="43"/>
      <c r="N744" s="37"/>
      <c r="O744" s="38"/>
      <c r="P744" s="34"/>
      <c r="Q744" s="39"/>
      <c r="R744" s="84"/>
      <c r="S744" s="40"/>
      <c r="T744" s="42"/>
      <c r="U744" s="42"/>
      <c r="W744" s="73"/>
      <c r="X744"/>
      <c r="Y744" s="69"/>
      <c r="Z744"/>
      <c r="AA744" s="33"/>
    </row>
    <row r="745" spans="1:27" s="31" customFormat="1">
      <c r="A745" s="34"/>
      <c r="B745" s="76"/>
      <c r="C745" s="76"/>
      <c r="D745" s="43"/>
      <c r="E745" s="43"/>
      <c r="F745" s="43"/>
      <c r="G745" s="43"/>
      <c r="H745" s="43"/>
      <c r="I745" s="43"/>
      <c r="J745" s="43"/>
      <c r="K745" s="43"/>
      <c r="L745" s="43"/>
      <c r="M745" s="43"/>
      <c r="N745" s="37"/>
      <c r="O745" s="38"/>
      <c r="P745" s="34"/>
      <c r="Q745" s="39"/>
      <c r="R745" s="84"/>
      <c r="S745" s="40"/>
      <c r="T745" s="42"/>
      <c r="U745" s="42"/>
      <c r="W745" s="73"/>
      <c r="X745"/>
      <c r="Y745" s="69"/>
      <c r="Z745"/>
      <c r="AA745" s="33"/>
    </row>
    <row r="746" spans="1:27" s="31" customFormat="1">
      <c r="A746" s="34"/>
      <c r="B746" s="76"/>
      <c r="C746" s="76"/>
      <c r="D746" s="43"/>
      <c r="E746" s="43"/>
      <c r="F746" s="43"/>
      <c r="G746" s="43"/>
      <c r="H746" s="43"/>
      <c r="I746" s="43"/>
      <c r="J746" s="43"/>
      <c r="K746" s="43"/>
      <c r="L746" s="43"/>
      <c r="M746" s="43"/>
      <c r="N746" s="37"/>
      <c r="O746" s="38"/>
      <c r="P746" s="34"/>
      <c r="Q746" s="45"/>
      <c r="R746" s="84"/>
      <c r="S746" s="40"/>
      <c r="T746" s="42"/>
      <c r="U746" s="42"/>
      <c r="W746" s="73"/>
      <c r="X746"/>
      <c r="Y746" s="69"/>
      <c r="Z746"/>
      <c r="AA746" s="33"/>
    </row>
    <row r="747" spans="1:27" s="31" customFormat="1">
      <c r="A747" s="34"/>
      <c r="B747" s="76"/>
      <c r="C747" s="76"/>
      <c r="D747" s="43"/>
      <c r="E747" s="43"/>
      <c r="F747" s="43"/>
      <c r="G747" s="43"/>
      <c r="H747" s="43"/>
      <c r="I747" s="43"/>
      <c r="J747" s="43"/>
      <c r="K747" s="43"/>
      <c r="L747" s="43"/>
      <c r="M747" s="43"/>
      <c r="N747" s="37"/>
      <c r="O747" s="38"/>
      <c r="P747" s="34"/>
      <c r="Q747" s="45"/>
      <c r="R747" s="84"/>
      <c r="S747" s="40"/>
      <c r="T747" s="42"/>
      <c r="U747" s="42"/>
      <c r="W747" s="73"/>
      <c r="X747"/>
      <c r="Y747" s="69"/>
      <c r="Z747"/>
      <c r="AA747" s="33"/>
    </row>
    <row r="748" spans="1:27" s="31" customFormat="1">
      <c r="A748" s="34"/>
      <c r="B748" s="76"/>
      <c r="C748" s="76"/>
      <c r="D748" s="43"/>
      <c r="E748" s="43"/>
      <c r="F748" s="43"/>
      <c r="G748" s="43"/>
      <c r="H748" s="43"/>
      <c r="I748" s="43"/>
      <c r="J748" s="43"/>
      <c r="K748" s="43"/>
      <c r="L748" s="43"/>
      <c r="M748" s="43"/>
      <c r="N748" s="37"/>
      <c r="O748" s="38"/>
      <c r="P748" s="34"/>
      <c r="Q748" s="39"/>
      <c r="R748" s="84"/>
      <c r="S748" s="40"/>
      <c r="T748" s="42"/>
      <c r="U748" s="42"/>
      <c r="W748" s="73"/>
      <c r="X748"/>
      <c r="Y748" s="69"/>
      <c r="Z748"/>
      <c r="AA748" s="33"/>
    </row>
    <row r="749" spans="1:27" s="31" customFormat="1">
      <c r="A749" s="34"/>
      <c r="B749" s="76"/>
      <c r="C749" s="76"/>
      <c r="D749" s="43"/>
      <c r="E749" s="43"/>
      <c r="F749" s="43"/>
      <c r="G749" s="43"/>
      <c r="H749" s="43"/>
      <c r="I749" s="43"/>
      <c r="J749" s="43"/>
      <c r="K749" s="43"/>
      <c r="L749" s="43"/>
      <c r="M749" s="43"/>
      <c r="N749" s="37"/>
      <c r="O749" s="38"/>
      <c r="P749" s="34"/>
      <c r="Q749" s="39"/>
      <c r="R749" s="84"/>
      <c r="S749" s="40"/>
      <c r="T749" s="42"/>
      <c r="U749" s="42"/>
      <c r="W749" s="73"/>
      <c r="X749"/>
      <c r="Y749" s="69"/>
      <c r="Z749"/>
      <c r="AA749" s="33"/>
    </row>
    <row r="750" spans="1:27" s="31" customFormat="1">
      <c r="A750" s="34"/>
      <c r="B750" s="76"/>
      <c r="C750" s="76"/>
      <c r="D750" s="43"/>
      <c r="E750" s="43"/>
      <c r="F750" s="43"/>
      <c r="G750" s="43"/>
      <c r="H750" s="43"/>
      <c r="I750" s="43"/>
      <c r="J750" s="43"/>
      <c r="K750" s="43"/>
      <c r="L750" s="43"/>
      <c r="M750" s="43"/>
      <c r="N750" s="37"/>
      <c r="O750" s="38"/>
      <c r="P750" s="34"/>
      <c r="Q750" s="39"/>
      <c r="R750" s="84"/>
      <c r="S750" s="40"/>
      <c r="T750" s="42"/>
      <c r="U750" s="42"/>
      <c r="W750" s="73"/>
      <c r="X750"/>
      <c r="Y750" s="69"/>
      <c r="Z750"/>
      <c r="AA750" s="33"/>
    </row>
    <row r="751" spans="1:27" s="31" customFormat="1">
      <c r="A751" s="34"/>
      <c r="B751" s="76"/>
      <c r="C751" s="76"/>
      <c r="D751" s="43"/>
      <c r="E751" s="43"/>
      <c r="F751" s="43"/>
      <c r="G751" s="43"/>
      <c r="H751" s="43"/>
      <c r="I751" s="43"/>
      <c r="J751" s="43"/>
      <c r="K751" s="43"/>
      <c r="L751" s="43"/>
      <c r="M751" s="43"/>
      <c r="N751" s="37"/>
      <c r="O751" s="38"/>
      <c r="P751" s="34"/>
      <c r="Q751" s="39"/>
      <c r="R751" s="84"/>
      <c r="S751" s="40"/>
      <c r="T751" s="42"/>
      <c r="U751" s="42"/>
      <c r="W751" s="73"/>
      <c r="X751"/>
      <c r="Y751" s="69"/>
      <c r="Z751"/>
      <c r="AA751" s="33"/>
    </row>
    <row r="752" spans="1:27" s="31" customFormat="1">
      <c r="A752" s="34"/>
      <c r="B752" s="76"/>
      <c r="C752" s="76"/>
      <c r="D752" s="43"/>
      <c r="E752" s="43"/>
      <c r="F752" s="43"/>
      <c r="G752" s="43"/>
      <c r="H752" s="43"/>
      <c r="I752" s="43"/>
      <c r="J752" s="43"/>
      <c r="K752" s="43"/>
      <c r="L752" s="43"/>
      <c r="M752" s="43"/>
      <c r="N752" s="37"/>
      <c r="O752" s="38"/>
      <c r="P752" s="34"/>
      <c r="Q752" s="39"/>
      <c r="R752" s="84"/>
      <c r="S752" s="40"/>
      <c r="T752" s="42"/>
      <c r="U752" s="42"/>
      <c r="W752" s="73"/>
      <c r="X752"/>
      <c r="Y752" s="69"/>
      <c r="Z752"/>
      <c r="AA752" s="33"/>
    </row>
    <row r="753" spans="1:27" s="31" customFormat="1">
      <c r="A753" s="34"/>
      <c r="B753" s="76"/>
      <c r="C753" s="76"/>
      <c r="D753" s="43"/>
      <c r="E753" s="43"/>
      <c r="F753" s="43"/>
      <c r="G753" s="43"/>
      <c r="H753" s="43"/>
      <c r="I753" s="43"/>
      <c r="J753" s="43"/>
      <c r="K753" s="43"/>
      <c r="L753" s="43"/>
      <c r="M753" s="43"/>
      <c r="N753" s="37"/>
      <c r="O753" s="38"/>
      <c r="P753" s="34"/>
      <c r="Q753" s="39"/>
      <c r="R753" s="84"/>
      <c r="S753" s="40"/>
      <c r="T753" s="42"/>
      <c r="U753" s="42"/>
      <c r="W753" s="73"/>
      <c r="X753"/>
      <c r="Y753" s="69"/>
      <c r="Z753"/>
      <c r="AA753" s="33"/>
    </row>
    <row r="754" spans="1:27" s="31" customFormat="1">
      <c r="A754" s="34"/>
      <c r="B754" s="76"/>
      <c r="C754" s="76"/>
      <c r="D754" s="43"/>
      <c r="E754" s="43"/>
      <c r="F754" s="43"/>
      <c r="G754" s="43"/>
      <c r="H754" s="43"/>
      <c r="I754" s="43"/>
      <c r="J754" s="43"/>
      <c r="K754" s="43"/>
      <c r="L754" s="43"/>
      <c r="M754" s="43"/>
      <c r="N754" s="37"/>
      <c r="O754" s="38"/>
      <c r="P754" s="34"/>
      <c r="Q754" s="39"/>
      <c r="R754" s="84"/>
      <c r="S754" s="40"/>
      <c r="T754" s="42"/>
      <c r="U754" s="42"/>
      <c r="W754" s="73"/>
      <c r="X754"/>
      <c r="Y754" s="69"/>
      <c r="Z754"/>
      <c r="AA754" s="33"/>
    </row>
    <row r="755" spans="1:27" s="31" customFormat="1">
      <c r="A755" s="34"/>
      <c r="B755" s="76"/>
      <c r="C755" s="76"/>
      <c r="D755" s="43"/>
      <c r="E755" s="43"/>
      <c r="F755" s="43"/>
      <c r="G755" s="43"/>
      <c r="H755" s="43"/>
      <c r="I755" s="43"/>
      <c r="J755" s="43"/>
      <c r="K755" s="43"/>
      <c r="L755" s="43"/>
      <c r="M755" s="43"/>
      <c r="N755" s="37"/>
      <c r="O755" s="38"/>
      <c r="P755" s="34"/>
      <c r="Q755" s="34"/>
      <c r="R755" s="76"/>
      <c r="S755" s="40"/>
      <c r="T755" s="42"/>
      <c r="U755" s="42"/>
      <c r="W755" s="73"/>
      <c r="X755"/>
      <c r="Y755" s="69"/>
      <c r="Z755"/>
      <c r="AA755" s="33"/>
    </row>
    <row r="756" spans="1:27" s="31" customFormat="1">
      <c r="A756" s="34"/>
      <c r="B756" s="76"/>
      <c r="C756" s="76"/>
      <c r="D756" s="43"/>
      <c r="E756" s="43"/>
      <c r="F756" s="43"/>
      <c r="G756" s="43"/>
      <c r="H756" s="43"/>
      <c r="I756" s="43"/>
      <c r="J756" s="43"/>
      <c r="K756" s="43"/>
      <c r="L756" s="43"/>
      <c r="M756" s="43"/>
      <c r="N756" s="37"/>
      <c r="O756" s="38"/>
      <c r="P756" s="34"/>
      <c r="Q756" s="34"/>
      <c r="R756" s="76"/>
      <c r="S756" s="40"/>
      <c r="T756" s="42"/>
      <c r="U756" s="42"/>
      <c r="W756" s="73"/>
      <c r="X756"/>
      <c r="Y756" s="69"/>
      <c r="Z756"/>
      <c r="AA756" s="33"/>
    </row>
    <row r="757" spans="1:27" s="31" customFormat="1">
      <c r="A757" s="34"/>
      <c r="B757" s="76"/>
      <c r="C757" s="76"/>
      <c r="D757" s="43"/>
      <c r="E757" s="43"/>
      <c r="F757" s="43"/>
      <c r="G757" s="43"/>
      <c r="H757" s="43"/>
      <c r="I757" s="43"/>
      <c r="J757" s="43"/>
      <c r="K757" s="43"/>
      <c r="L757" s="43"/>
      <c r="M757" s="43"/>
      <c r="N757" s="37"/>
      <c r="O757" s="38"/>
      <c r="P757" s="34"/>
      <c r="Q757" s="34"/>
      <c r="R757" s="76"/>
      <c r="S757" s="46"/>
      <c r="T757" s="42"/>
      <c r="U757" s="42"/>
      <c r="W757" s="73"/>
      <c r="X757"/>
      <c r="Y757" s="69"/>
      <c r="Z757"/>
      <c r="AA757" s="33"/>
    </row>
    <row r="758" spans="1:27" s="31" customFormat="1">
      <c r="A758" s="34"/>
      <c r="B758" s="76"/>
      <c r="C758" s="76"/>
      <c r="D758" s="43"/>
      <c r="E758" s="43"/>
      <c r="F758" s="43"/>
      <c r="G758" s="43"/>
      <c r="H758" s="43"/>
      <c r="I758" s="43"/>
      <c r="J758" s="43"/>
      <c r="K758" s="43"/>
      <c r="L758" s="43"/>
      <c r="M758" s="43"/>
      <c r="N758" s="37"/>
      <c r="O758" s="38"/>
      <c r="P758" s="34"/>
      <c r="Q758" s="34"/>
      <c r="R758" s="76"/>
      <c r="S758" s="47"/>
      <c r="T758" s="42"/>
      <c r="U758" s="42"/>
      <c r="W758" s="73"/>
      <c r="X758"/>
      <c r="Y758" s="69"/>
      <c r="Z758"/>
      <c r="AA758" s="33"/>
    </row>
    <row r="759" spans="1:27" s="31" customFormat="1">
      <c r="A759" s="34"/>
      <c r="B759" s="76"/>
      <c r="C759" s="76"/>
      <c r="D759" s="43"/>
      <c r="E759" s="43"/>
      <c r="F759" s="43"/>
      <c r="G759" s="43"/>
      <c r="H759" s="43"/>
      <c r="I759" s="43"/>
      <c r="J759" s="43"/>
      <c r="K759" s="43"/>
      <c r="L759" s="43"/>
      <c r="M759" s="43"/>
      <c r="N759" s="37"/>
      <c r="O759" s="38"/>
      <c r="P759" s="34"/>
      <c r="Q759" s="34"/>
      <c r="R759" s="76"/>
      <c r="S759" s="47"/>
      <c r="T759" s="42"/>
      <c r="U759" s="42"/>
      <c r="W759" s="73"/>
      <c r="X759"/>
      <c r="Y759" s="69"/>
      <c r="Z759"/>
      <c r="AA759" s="33"/>
    </row>
    <row r="760" spans="1:27" s="31" customFormat="1">
      <c r="A760" s="34"/>
      <c r="B760" s="76"/>
      <c r="C760" s="76"/>
      <c r="D760" s="43"/>
      <c r="E760" s="43"/>
      <c r="F760" s="43"/>
      <c r="G760" s="43"/>
      <c r="H760" s="43"/>
      <c r="I760" s="43"/>
      <c r="J760" s="43"/>
      <c r="K760" s="43"/>
      <c r="L760" s="43"/>
      <c r="M760" s="43"/>
      <c r="N760" s="37"/>
      <c r="O760" s="38"/>
      <c r="P760" s="34"/>
      <c r="Q760" s="34"/>
      <c r="R760" s="76"/>
      <c r="S760" s="47"/>
      <c r="T760" s="42"/>
      <c r="U760" s="42"/>
      <c r="W760" s="73"/>
      <c r="X760"/>
      <c r="Y760" s="69"/>
      <c r="Z760"/>
      <c r="AA760" s="33"/>
    </row>
    <row r="761" spans="1:27" s="31" customFormat="1">
      <c r="A761" s="34"/>
      <c r="B761" s="76"/>
      <c r="C761" s="76"/>
      <c r="D761" s="43"/>
      <c r="E761" s="43"/>
      <c r="F761" s="43"/>
      <c r="G761" s="43"/>
      <c r="H761" s="43"/>
      <c r="I761" s="43"/>
      <c r="J761" s="43"/>
      <c r="K761" s="43"/>
      <c r="L761" s="43"/>
      <c r="M761" s="43"/>
      <c r="N761" s="37"/>
      <c r="O761" s="38"/>
      <c r="P761" s="34"/>
      <c r="Q761" s="34"/>
      <c r="R761" s="76"/>
      <c r="S761" s="47"/>
      <c r="T761" s="42"/>
      <c r="U761" s="42"/>
      <c r="W761" s="73"/>
      <c r="X761"/>
      <c r="Y761" s="69"/>
      <c r="Z761"/>
      <c r="AA761" s="33"/>
    </row>
    <row r="762" spans="1:27" s="31" customFormat="1">
      <c r="A762" s="34"/>
      <c r="B762" s="76"/>
      <c r="C762" s="76"/>
      <c r="D762" s="43"/>
      <c r="E762" s="43"/>
      <c r="F762" s="43"/>
      <c r="G762" s="43"/>
      <c r="H762" s="43"/>
      <c r="I762" s="43"/>
      <c r="J762" s="43"/>
      <c r="K762" s="43"/>
      <c r="L762" s="43"/>
      <c r="M762" s="43"/>
      <c r="N762" s="37"/>
      <c r="O762" s="38"/>
      <c r="P762" s="34"/>
      <c r="Q762" s="34"/>
      <c r="R762" s="76"/>
      <c r="S762" s="47"/>
      <c r="T762" s="42"/>
      <c r="U762" s="42"/>
      <c r="W762" s="73"/>
      <c r="X762"/>
      <c r="Y762" s="69"/>
      <c r="Z762"/>
      <c r="AA762" s="33"/>
    </row>
    <row r="763" spans="1:27" s="31" customFormat="1">
      <c r="A763" s="34"/>
      <c r="B763" s="76"/>
      <c r="C763" s="76"/>
      <c r="D763" s="43"/>
      <c r="E763" s="43"/>
      <c r="F763" s="43"/>
      <c r="G763" s="43"/>
      <c r="H763" s="43"/>
      <c r="I763" s="43"/>
      <c r="J763" s="43"/>
      <c r="K763" s="43"/>
      <c r="L763" s="43"/>
      <c r="M763" s="43"/>
      <c r="N763" s="37"/>
      <c r="O763" s="38"/>
      <c r="P763" s="34"/>
      <c r="Q763" s="34"/>
      <c r="R763" s="76"/>
      <c r="S763" s="47"/>
      <c r="T763" s="42"/>
      <c r="U763" s="42"/>
      <c r="W763" s="73"/>
      <c r="X763"/>
      <c r="Y763" s="69"/>
      <c r="Z763"/>
      <c r="AA763" s="33"/>
    </row>
    <row r="764" spans="1:27" s="31" customFormat="1">
      <c r="A764" s="34"/>
      <c r="B764" s="76"/>
      <c r="C764" s="76"/>
      <c r="D764" s="43"/>
      <c r="E764" s="43"/>
      <c r="F764" s="43"/>
      <c r="G764" s="43"/>
      <c r="H764" s="43"/>
      <c r="I764" s="43"/>
      <c r="J764" s="43"/>
      <c r="K764" s="43"/>
      <c r="L764" s="43"/>
      <c r="M764" s="43"/>
      <c r="N764" s="37"/>
      <c r="O764" s="38"/>
      <c r="P764" s="34"/>
      <c r="Q764" s="34"/>
      <c r="R764" s="76"/>
      <c r="S764" s="47"/>
      <c r="T764" s="42"/>
      <c r="U764" s="42"/>
      <c r="W764" s="73"/>
      <c r="X764"/>
      <c r="Y764" s="69"/>
      <c r="Z764"/>
      <c r="AA764" s="33"/>
    </row>
    <row r="765" spans="1:27" s="31" customFormat="1">
      <c r="A765" s="34"/>
      <c r="B765" s="76"/>
      <c r="C765" s="76"/>
      <c r="D765" s="43"/>
      <c r="E765" s="43"/>
      <c r="F765" s="43"/>
      <c r="G765" s="43"/>
      <c r="H765" s="43"/>
      <c r="I765" s="43"/>
      <c r="J765" s="43"/>
      <c r="K765" s="43"/>
      <c r="L765" s="43"/>
      <c r="M765" s="43"/>
      <c r="N765" s="37"/>
      <c r="O765" s="38"/>
      <c r="P765" s="34"/>
      <c r="Q765" s="34"/>
      <c r="R765" s="76"/>
      <c r="S765" s="47"/>
      <c r="T765" s="42"/>
      <c r="U765" s="42"/>
      <c r="W765" s="73"/>
      <c r="X765"/>
      <c r="Y765" s="69"/>
      <c r="Z765"/>
      <c r="AA765" s="33"/>
    </row>
    <row r="766" spans="1:27" s="31" customFormat="1">
      <c r="A766" s="34"/>
      <c r="B766" s="76"/>
      <c r="C766" s="76"/>
      <c r="D766" s="43"/>
      <c r="E766" s="43"/>
      <c r="F766" s="43"/>
      <c r="G766" s="43"/>
      <c r="H766" s="43"/>
      <c r="I766" s="43"/>
      <c r="J766" s="43"/>
      <c r="K766" s="43"/>
      <c r="L766" s="43"/>
      <c r="M766" s="43"/>
      <c r="N766" s="37"/>
      <c r="O766" s="38"/>
      <c r="P766" s="34"/>
      <c r="Q766" s="34"/>
      <c r="R766" s="76"/>
      <c r="S766" s="47"/>
      <c r="T766" s="42"/>
      <c r="U766" s="42"/>
      <c r="W766" s="73"/>
      <c r="X766"/>
      <c r="Y766" s="69"/>
      <c r="Z766"/>
      <c r="AA766" s="33"/>
    </row>
    <row r="767" spans="1:27" s="31" customFormat="1">
      <c r="A767" s="34"/>
      <c r="B767" s="76"/>
      <c r="C767" s="76"/>
      <c r="D767" s="43"/>
      <c r="E767" s="43"/>
      <c r="F767" s="43"/>
      <c r="G767" s="43"/>
      <c r="H767" s="43"/>
      <c r="I767" s="43"/>
      <c r="J767" s="43"/>
      <c r="K767" s="43"/>
      <c r="L767" s="43"/>
      <c r="M767" s="43"/>
      <c r="N767" s="37"/>
      <c r="O767" s="38"/>
      <c r="P767" s="34"/>
      <c r="Q767" s="34"/>
      <c r="R767" s="76"/>
      <c r="S767" s="47"/>
      <c r="T767" s="42"/>
      <c r="U767" s="42"/>
      <c r="W767" s="73"/>
      <c r="X767"/>
      <c r="Y767" s="69"/>
      <c r="Z767"/>
      <c r="AA767" s="33"/>
    </row>
    <row r="768" spans="1:27" s="31" customFormat="1">
      <c r="A768" s="34"/>
      <c r="B768" s="76"/>
      <c r="C768" s="76"/>
      <c r="D768" s="43"/>
      <c r="E768" s="43"/>
      <c r="F768" s="43"/>
      <c r="G768" s="43"/>
      <c r="H768" s="43"/>
      <c r="I768" s="43"/>
      <c r="J768" s="43"/>
      <c r="K768" s="43"/>
      <c r="L768" s="43"/>
      <c r="M768" s="43"/>
      <c r="N768" s="37"/>
      <c r="O768" s="38"/>
      <c r="P768" s="34"/>
      <c r="Q768" s="34"/>
      <c r="R768" s="76"/>
      <c r="S768" s="47"/>
      <c r="T768" s="42"/>
      <c r="U768" s="42"/>
      <c r="W768" s="73"/>
      <c r="X768"/>
      <c r="Y768" s="69"/>
      <c r="Z768"/>
      <c r="AA768" s="33"/>
    </row>
    <row r="769" spans="1:27" s="31" customFormat="1">
      <c r="A769" s="34"/>
      <c r="B769" s="76"/>
      <c r="C769" s="76"/>
      <c r="D769" s="43"/>
      <c r="E769" s="43"/>
      <c r="F769" s="43"/>
      <c r="G769" s="43"/>
      <c r="H769" s="43"/>
      <c r="I769" s="43"/>
      <c r="J769" s="43"/>
      <c r="K769" s="43"/>
      <c r="L769" s="43"/>
      <c r="M769" s="43"/>
      <c r="N769" s="37"/>
      <c r="O769" s="38"/>
      <c r="P769" s="34"/>
      <c r="Q769" s="39"/>
      <c r="R769" s="84"/>
      <c r="S769" s="47"/>
      <c r="T769" s="42"/>
      <c r="U769" s="42"/>
      <c r="W769" s="73"/>
      <c r="X769"/>
      <c r="Y769" s="69"/>
      <c r="Z769"/>
      <c r="AA769" s="33"/>
    </row>
    <row r="770" spans="1:27" s="31" customFormat="1">
      <c r="A770" s="34"/>
      <c r="B770" s="76"/>
      <c r="C770" s="76"/>
      <c r="D770" s="43"/>
      <c r="E770" s="43"/>
      <c r="F770" s="43"/>
      <c r="G770" s="43"/>
      <c r="H770" s="43"/>
      <c r="I770" s="43"/>
      <c r="J770" s="43"/>
      <c r="K770" s="43"/>
      <c r="L770" s="43"/>
      <c r="M770" s="43"/>
      <c r="N770" s="37"/>
      <c r="O770" s="38"/>
      <c r="P770" s="34"/>
      <c r="Q770" s="39"/>
      <c r="R770" s="84"/>
      <c r="S770" s="47"/>
      <c r="T770" s="42"/>
      <c r="U770" s="42"/>
      <c r="W770" s="73"/>
      <c r="X770"/>
      <c r="Y770" s="69"/>
      <c r="Z770"/>
      <c r="AA770" s="33"/>
    </row>
    <row r="771" spans="1:27" s="31" customFormat="1">
      <c r="A771" s="34"/>
      <c r="B771" s="76"/>
      <c r="C771" s="76"/>
      <c r="D771" s="43"/>
      <c r="E771" s="43"/>
      <c r="F771" s="43"/>
      <c r="G771" s="43"/>
      <c r="H771" s="43"/>
      <c r="I771" s="43"/>
      <c r="J771" s="43"/>
      <c r="K771" s="43"/>
      <c r="L771" s="43"/>
      <c r="M771" s="43"/>
      <c r="N771" s="37"/>
      <c r="O771" s="38"/>
      <c r="P771" s="34"/>
      <c r="Q771" s="39"/>
      <c r="R771" s="84"/>
      <c r="S771" s="47"/>
      <c r="T771" s="42"/>
      <c r="U771" s="42"/>
      <c r="W771" s="73"/>
      <c r="X771"/>
      <c r="Y771" s="69"/>
      <c r="Z771"/>
      <c r="AA771" s="33"/>
    </row>
    <row r="772" spans="1:27" s="31" customFormat="1">
      <c r="A772" s="34"/>
      <c r="B772" s="76"/>
      <c r="C772" s="76"/>
      <c r="D772" s="43"/>
      <c r="E772" s="43"/>
      <c r="F772" s="43"/>
      <c r="G772" s="43"/>
      <c r="H772" s="43"/>
      <c r="I772" s="43"/>
      <c r="J772" s="43"/>
      <c r="K772" s="43"/>
      <c r="L772" s="43"/>
      <c r="M772" s="43"/>
      <c r="N772" s="37"/>
      <c r="O772" s="38"/>
      <c r="P772" s="34"/>
      <c r="Q772" s="39"/>
      <c r="R772" s="84"/>
      <c r="S772" s="47"/>
      <c r="T772" s="42"/>
      <c r="U772" s="42"/>
      <c r="W772" s="73"/>
      <c r="X772"/>
      <c r="Y772" s="69"/>
      <c r="Z772"/>
      <c r="AA772" s="33"/>
    </row>
    <row r="773" spans="1:27" s="31" customFormat="1">
      <c r="A773" s="34"/>
      <c r="B773" s="76"/>
      <c r="C773" s="76"/>
      <c r="D773" s="43"/>
      <c r="E773" s="43"/>
      <c r="F773" s="43"/>
      <c r="G773" s="43"/>
      <c r="H773" s="43"/>
      <c r="I773" s="43"/>
      <c r="J773" s="43"/>
      <c r="K773" s="43"/>
      <c r="L773" s="43"/>
      <c r="M773" s="43"/>
      <c r="N773" s="37"/>
      <c r="O773" s="38"/>
      <c r="P773" s="34"/>
      <c r="Q773" s="39"/>
      <c r="R773" s="84"/>
      <c r="S773" s="47"/>
      <c r="T773" s="42"/>
      <c r="U773" s="42"/>
      <c r="W773" s="73"/>
      <c r="X773"/>
      <c r="Y773" s="69"/>
      <c r="Z773"/>
      <c r="AA773" s="33"/>
    </row>
    <row r="774" spans="1:27" s="31" customFormat="1">
      <c r="A774" s="34"/>
      <c r="B774" s="76"/>
      <c r="C774" s="76"/>
      <c r="D774" s="43"/>
      <c r="E774" s="43"/>
      <c r="F774" s="43"/>
      <c r="G774" s="43"/>
      <c r="H774" s="43"/>
      <c r="I774" s="43"/>
      <c r="J774" s="43"/>
      <c r="K774" s="43"/>
      <c r="L774" s="43"/>
      <c r="M774" s="43"/>
      <c r="N774" s="37"/>
      <c r="O774" s="38"/>
      <c r="P774" s="34"/>
      <c r="Q774" s="39"/>
      <c r="R774" s="84"/>
      <c r="S774" s="47"/>
      <c r="T774" s="42"/>
      <c r="U774" s="42"/>
      <c r="W774" s="73"/>
      <c r="X774"/>
      <c r="Y774" s="69"/>
      <c r="Z774"/>
      <c r="AA774" s="33"/>
    </row>
    <row r="775" spans="1:27" s="31" customFormat="1">
      <c r="A775" s="34"/>
      <c r="B775" s="76"/>
      <c r="C775" s="76"/>
      <c r="D775" s="43"/>
      <c r="E775" s="43"/>
      <c r="F775" s="43"/>
      <c r="G775" s="43"/>
      <c r="H775" s="43"/>
      <c r="I775" s="43"/>
      <c r="J775" s="43"/>
      <c r="K775" s="43"/>
      <c r="L775" s="43"/>
      <c r="M775" s="43"/>
      <c r="N775" s="37"/>
      <c r="O775" s="38"/>
      <c r="P775" s="34"/>
      <c r="Q775" s="39"/>
      <c r="R775" s="84"/>
      <c r="S775" s="47"/>
      <c r="T775" s="42"/>
      <c r="U775" s="42"/>
      <c r="W775" s="73"/>
      <c r="X775"/>
      <c r="Y775" s="69"/>
      <c r="Z775"/>
      <c r="AA775" s="33"/>
    </row>
    <row r="776" spans="1:27" s="31" customFormat="1">
      <c r="A776" s="34"/>
      <c r="B776" s="76"/>
      <c r="C776" s="76"/>
      <c r="D776" s="43"/>
      <c r="E776" s="43"/>
      <c r="F776" s="43"/>
      <c r="G776" s="43"/>
      <c r="H776" s="43"/>
      <c r="I776" s="43"/>
      <c r="J776" s="43"/>
      <c r="K776" s="43"/>
      <c r="L776" s="43"/>
      <c r="M776" s="43"/>
      <c r="N776" s="37"/>
      <c r="O776" s="38"/>
      <c r="P776" s="34"/>
      <c r="Q776" s="39"/>
      <c r="R776" s="84"/>
      <c r="S776" s="47"/>
      <c r="T776" s="42"/>
      <c r="U776" s="42"/>
      <c r="W776" s="73"/>
      <c r="X776"/>
      <c r="Y776" s="69"/>
      <c r="Z776"/>
      <c r="AA776" s="33"/>
    </row>
    <row r="777" spans="1:27" s="31" customFormat="1">
      <c r="A777" s="34"/>
      <c r="B777" s="76"/>
      <c r="C777" s="76"/>
      <c r="D777" s="43"/>
      <c r="E777" s="43"/>
      <c r="F777" s="43"/>
      <c r="G777" s="43"/>
      <c r="H777" s="43"/>
      <c r="I777" s="43"/>
      <c r="J777" s="43"/>
      <c r="K777" s="43"/>
      <c r="L777" s="43"/>
      <c r="M777" s="43"/>
      <c r="N777" s="37"/>
      <c r="O777" s="38"/>
      <c r="P777" s="34"/>
      <c r="Q777" s="39"/>
      <c r="R777" s="84"/>
      <c r="S777" s="47"/>
      <c r="T777" s="42"/>
      <c r="U777" s="42"/>
      <c r="W777" s="73"/>
      <c r="X777"/>
      <c r="Y777" s="69"/>
      <c r="Z777"/>
      <c r="AA777" s="33"/>
    </row>
    <row r="778" spans="1:27" s="31" customFormat="1">
      <c r="A778" s="34"/>
      <c r="B778" s="76"/>
      <c r="C778" s="76"/>
      <c r="D778" s="43"/>
      <c r="E778" s="43"/>
      <c r="F778" s="43"/>
      <c r="G778" s="43"/>
      <c r="H778" s="43"/>
      <c r="I778" s="43"/>
      <c r="J778" s="43"/>
      <c r="K778" s="43"/>
      <c r="L778" s="43"/>
      <c r="M778" s="43"/>
      <c r="N778" s="37"/>
      <c r="O778" s="38"/>
      <c r="P778" s="34"/>
      <c r="Q778" s="39"/>
      <c r="R778" s="84"/>
      <c r="S778" s="47"/>
      <c r="T778" s="42"/>
      <c r="U778" s="42"/>
      <c r="W778" s="73"/>
      <c r="X778"/>
      <c r="Y778" s="69"/>
      <c r="Z778"/>
      <c r="AA778" s="33"/>
    </row>
    <row r="779" spans="1:27" s="31" customFormat="1">
      <c r="A779" s="34"/>
      <c r="B779" s="76"/>
      <c r="C779" s="76"/>
      <c r="D779" s="43"/>
      <c r="E779" s="43"/>
      <c r="F779" s="43"/>
      <c r="G779" s="43"/>
      <c r="H779" s="43"/>
      <c r="I779" s="43"/>
      <c r="J779" s="43"/>
      <c r="K779" s="43"/>
      <c r="L779" s="43"/>
      <c r="M779" s="43"/>
      <c r="N779" s="37"/>
      <c r="O779" s="38"/>
      <c r="P779" s="34"/>
      <c r="Q779" s="39"/>
      <c r="R779" s="84"/>
      <c r="S779" s="47"/>
      <c r="T779" s="42"/>
      <c r="U779" s="42"/>
      <c r="W779" s="73"/>
      <c r="X779"/>
      <c r="Y779" s="69"/>
      <c r="Z779"/>
      <c r="AA779" s="33"/>
    </row>
    <row r="780" spans="1:27" s="31" customFormat="1">
      <c r="A780" s="34"/>
      <c r="B780" s="76"/>
      <c r="C780" s="76"/>
      <c r="D780" s="43"/>
      <c r="E780" s="43"/>
      <c r="F780" s="43"/>
      <c r="G780" s="43"/>
      <c r="H780" s="43"/>
      <c r="I780" s="43"/>
      <c r="J780" s="43"/>
      <c r="K780" s="43"/>
      <c r="L780" s="43"/>
      <c r="M780" s="43"/>
      <c r="N780" s="37"/>
      <c r="O780" s="38"/>
      <c r="P780" s="34"/>
      <c r="Q780" s="39"/>
      <c r="R780" s="84"/>
      <c r="S780" s="47"/>
      <c r="T780" s="42"/>
      <c r="U780" s="42"/>
      <c r="W780" s="73"/>
      <c r="X780"/>
      <c r="Y780" s="69"/>
      <c r="Z780"/>
      <c r="AA780" s="33"/>
    </row>
    <row r="781" spans="1:27" s="31" customFormat="1">
      <c r="A781" s="34"/>
      <c r="B781" s="76"/>
      <c r="C781" s="76"/>
      <c r="D781" s="43"/>
      <c r="E781" s="43"/>
      <c r="F781" s="43"/>
      <c r="G781" s="43"/>
      <c r="H781" s="43"/>
      <c r="I781" s="43"/>
      <c r="J781" s="43"/>
      <c r="K781" s="43"/>
      <c r="L781" s="43"/>
      <c r="M781" s="43"/>
      <c r="N781" s="37"/>
      <c r="O781" s="38"/>
      <c r="P781" s="34"/>
      <c r="Q781" s="39"/>
      <c r="R781" s="84"/>
      <c r="S781" s="47"/>
      <c r="T781" s="42"/>
      <c r="U781" s="42"/>
      <c r="W781" s="73"/>
      <c r="X781"/>
      <c r="Y781" s="69"/>
      <c r="Z781"/>
      <c r="AA781" s="33"/>
    </row>
    <row r="782" spans="1:27" s="31" customFormat="1">
      <c r="A782" s="34"/>
      <c r="B782" s="76"/>
      <c r="C782" s="76"/>
      <c r="D782" s="43"/>
      <c r="E782" s="43"/>
      <c r="F782" s="43"/>
      <c r="G782" s="43"/>
      <c r="H782" s="43"/>
      <c r="I782" s="43"/>
      <c r="J782" s="43"/>
      <c r="K782" s="43"/>
      <c r="L782" s="43"/>
      <c r="M782" s="43"/>
      <c r="N782" s="37"/>
      <c r="O782" s="38"/>
      <c r="P782" s="34"/>
      <c r="Q782" s="39"/>
      <c r="R782" s="84"/>
      <c r="S782" s="47"/>
      <c r="T782" s="42"/>
      <c r="U782" s="42"/>
      <c r="W782" s="73"/>
      <c r="X782"/>
      <c r="Y782" s="69"/>
      <c r="Z782"/>
      <c r="AA782" s="33"/>
    </row>
    <row r="783" spans="1:27" s="31" customFormat="1">
      <c r="A783" s="34"/>
      <c r="B783" s="76"/>
      <c r="C783" s="76"/>
      <c r="D783" s="43"/>
      <c r="E783" s="43"/>
      <c r="F783" s="43"/>
      <c r="G783" s="43"/>
      <c r="H783" s="43"/>
      <c r="I783" s="43"/>
      <c r="J783" s="43"/>
      <c r="K783" s="43"/>
      <c r="L783" s="43"/>
      <c r="M783" s="43"/>
      <c r="N783" s="37"/>
      <c r="O783" s="38"/>
      <c r="P783" s="34"/>
      <c r="Q783" s="39"/>
      <c r="R783" s="84"/>
      <c r="S783" s="47"/>
      <c r="T783" s="42"/>
      <c r="U783" s="42"/>
      <c r="W783" s="73"/>
      <c r="X783"/>
      <c r="Y783" s="69"/>
      <c r="Z783"/>
      <c r="AA783" s="33"/>
    </row>
    <row r="784" spans="1:27" s="31" customFormat="1">
      <c r="A784" s="34"/>
      <c r="B784" s="76"/>
      <c r="C784" s="76"/>
      <c r="D784" s="43"/>
      <c r="E784" s="43"/>
      <c r="F784" s="43"/>
      <c r="G784" s="43"/>
      <c r="H784" s="43"/>
      <c r="I784" s="43"/>
      <c r="J784" s="43"/>
      <c r="K784" s="43"/>
      <c r="L784" s="43"/>
      <c r="M784" s="43"/>
      <c r="N784" s="37"/>
      <c r="O784" s="38"/>
      <c r="P784" s="34"/>
      <c r="Q784" s="34"/>
      <c r="R784" s="76"/>
      <c r="S784" s="48"/>
      <c r="T784" s="42"/>
      <c r="U784" s="42"/>
      <c r="W784" s="73"/>
      <c r="X784"/>
      <c r="Y784" s="69"/>
      <c r="Z784"/>
      <c r="AA784" s="33"/>
    </row>
    <row r="785" spans="1:27" s="31" customFormat="1">
      <c r="A785" s="34"/>
      <c r="B785" s="76"/>
      <c r="C785" s="76"/>
      <c r="D785" s="43"/>
      <c r="E785" s="43"/>
      <c r="F785" s="43"/>
      <c r="G785" s="43"/>
      <c r="H785" s="43"/>
      <c r="I785" s="43"/>
      <c r="J785" s="43"/>
      <c r="K785" s="43"/>
      <c r="L785" s="43"/>
      <c r="M785" s="43"/>
      <c r="N785" s="37"/>
      <c r="O785" s="38"/>
      <c r="P785" s="34"/>
      <c r="Q785" s="34"/>
      <c r="R785" s="76"/>
      <c r="S785" s="47"/>
      <c r="T785" s="42"/>
      <c r="U785" s="42"/>
      <c r="W785" s="73"/>
      <c r="X785"/>
      <c r="Y785" s="69"/>
      <c r="Z785"/>
      <c r="AA785" s="33"/>
    </row>
    <row r="786" spans="1:27" s="31" customFormat="1">
      <c r="A786" s="34"/>
      <c r="B786" s="76"/>
      <c r="C786" s="76"/>
      <c r="D786" s="43"/>
      <c r="E786" s="43"/>
      <c r="F786" s="43"/>
      <c r="G786" s="43"/>
      <c r="H786" s="43"/>
      <c r="I786" s="43"/>
      <c r="J786" s="43"/>
      <c r="K786" s="43"/>
      <c r="L786" s="43"/>
      <c r="M786" s="43"/>
      <c r="N786" s="37"/>
      <c r="O786" s="38"/>
      <c r="P786" s="34"/>
      <c r="Q786" s="49"/>
      <c r="R786" s="85"/>
      <c r="S786" s="47"/>
      <c r="T786" s="42"/>
      <c r="U786" s="42"/>
      <c r="W786" s="73"/>
      <c r="X786"/>
      <c r="Y786" s="69"/>
      <c r="Z786"/>
      <c r="AA786" s="33"/>
    </row>
    <row r="787" spans="1:27" s="31" customFormat="1">
      <c r="A787" s="34"/>
      <c r="B787" s="76"/>
      <c r="C787" s="76"/>
      <c r="D787" s="43"/>
      <c r="E787" s="43"/>
      <c r="F787" s="43"/>
      <c r="G787" s="43"/>
      <c r="H787" s="43"/>
      <c r="I787" s="43"/>
      <c r="J787" s="43"/>
      <c r="K787" s="43"/>
      <c r="L787" s="43"/>
      <c r="M787" s="43"/>
      <c r="N787" s="37"/>
      <c r="O787" s="38"/>
      <c r="P787" s="34"/>
      <c r="Q787" s="49"/>
      <c r="R787" s="85"/>
      <c r="S787" s="47"/>
      <c r="T787" s="42"/>
      <c r="U787" s="42"/>
      <c r="W787" s="73"/>
      <c r="X787"/>
      <c r="Y787" s="69"/>
      <c r="Z787"/>
      <c r="AA787" s="33"/>
    </row>
    <row r="788" spans="1:27" s="31" customFormat="1">
      <c r="A788" s="34"/>
      <c r="B788" s="76"/>
      <c r="C788" s="76"/>
      <c r="D788" s="43"/>
      <c r="E788" s="43"/>
      <c r="F788" s="43"/>
      <c r="G788" s="43"/>
      <c r="H788" s="43"/>
      <c r="I788" s="43"/>
      <c r="J788" s="43"/>
      <c r="K788" s="43"/>
      <c r="L788" s="43"/>
      <c r="M788" s="43"/>
      <c r="N788" s="37"/>
      <c r="O788" s="38"/>
      <c r="P788" s="34"/>
      <c r="Q788" s="49"/>
      <c r="R788" s="85"/>
      <c r="S788" s="47"/>
      <c r="T788" s="42"/>
      <c r="U788" s="42"/>
      <c r="W788" s="73"/>
      <c r="X788"/>
      <c r="Y788" s="69"/>
      <c r="Z788"/>
      <c r="AA788" s="33"/>
    </row>
    <row r="789" spans="1:27" s="31" customFormat="1">
      <c r="A789" s="34"/>
      <c r="B789" s="76"/>
      <c r="C789" s="76"/>
      <c r="D789" s="43"/>
      <c r="E789" s="43"/>
      <c r="F789" s="43"/>
      <c r="G789" s="43"/>
      <c r="H789" s="43"/>
      <c r="I789" s="43"/>
      <c r="J789" s="43"/>
      <c r="K789" s="43"/>
      <c r="L789" s="43"/>
      <c r="M789" s="43"/>
      <c r="N789" s="37"/>
      <c r="O789" s="38"/>
      <c r="P789" s="34"/>
      <c r="Q789" s="49"/>
      <c r="R789" s="85"/>
      <c r="S789" s="47"/>
      <c r="T789" s="42"/>
      <c r="U789" s="42"/>
      <c r="W789" s="73"/>
      <c r="X789"/>
      <c r="Y789" s="69"/>
      <c r="Z789"/>
      <c r="AA789" s="33"/>
    </row>
    <row r="790" spans="1:27" s="31" customFormat="1">
      <c r="A790" s="34"/>
      <c r="B790" s="76"/>
      <c r="C790" s="76"/>
      <c r="D790" s="43"/>
      <c r="E790" s="43"/>
      <c r="F790" s="43"/>
      <c r="G790" s="43"/>
      <c r="H790" s="43"/>
      <c r="I790" s="43"/>
      <c r="J790" s="43"/>
      <c r="K790" s="43"/>
      <c r="L790" s="43"/>
      <c r="M790" s="43"/>
      <c r="N790" s="37"/>
      <c r="O790" s="38"/>
      <c r="P790" s="34"/>
      <c r="Q790" s="49"/>
      <c r="R790" s="85"/>
      <c r="S790" s="47"/>
      <c r="T790" s="42"/>
      <c r="U790" s="42"/>
      <c r="W790" s="73"/>
      <c r="X790"/>
      <c r="Y790" s="69"/>
      <c r="Z790"/>
      <c r="AA790" s="33"/>
    </row>
    <row r="791" spans="1:27" s="31" customFormat="1">
      <c r="A791" s="34"/>
      <c r="B791" s="76"/>
      <c r="C791" s="76"/>
      <c r="D791" s="43"/>
      <c r="E791" s="43"/>
      <c r="F791" s="43"/>
      <c r="G791" s="43"/>
      <c r="H791" s="43"/>
      <c r="I791" s="43"/>
      <c r="J791" s="43"/>
      <c r="K791" s="43"/>
      <c r="L791" s="43"/>
      <c r="M791" s="43"/>
      <c r="N791" s="37"/>
      <c r="O791" s="38"/>
      <c r="P791" s="34"/>
      <c r="Q791" s="49"/>
      <c r="R791" s="85"/>
      <c r="S791" s="47"/>
      <c r="T791" s="42"/>
      <c r="U791" s="42"/>
      <c r="W791" s="73"/>
      <c r="X791"/>
      <c r="Y791" s="69"/>
      <c r="Z791"/>
      <c r="AA791" s="33"/>
    </row>
    <row r="792" spans="1:27" s="31" customFormat="1">
      <c r="A792" s="34"/>
      <c r="B792" s="76"/>
      <c r="C792" s="76"/>
      <c r="D792" s="43"/>
      <c r="E792" s="43"/>
      <c r="F792" s="43"/>
      <c r="G792" s="43"/>
      <c r="H792" s="43"/>
      <c r="I792" s="43"/>
      <c r="J792" s="43"/>
      <c r="K792" s="43"/>
      <c r="L792" s="43"/>
      <c r="M792" s="43"/>
      <c r="N792" s="37"/>
      <c r="O792" s="38"/>
      <c r="P792" s="34"/>
      <c r="Q792" s="49"/>
      <c r="R792" s="85"/>
      <c r="S792" s="47"/>
      <c r="T792" s="42"/>
      <c r="U792" s="42"/>
      <c r="W792" s="73"/>
      <c r="X792"/>
      <c r="Y792" s="69"/>
      <c r="Z792"/>
      <c r="AA792" s="33"/>
    </row>
    <row r="793" spans="1:27" s="31" customFormat="1">
      <c r="A793" s="34"/>
      <c r="B793" s="76"/>
      <c r="C793" s="76"/>
      <c r="D793" s="43"/>
      <c r="E793" s="43"/>
      <c r="F793" s="43"/>
      <c r="G793" s="43"/>
      <c r="H793" s="43"/>
      <c r="I793" s="43"/>
      <c r="J793" s="43"/>
      <c r="K793" s="43"/>
      <c r="L793" s="43"/>
      <c r="M793" s="43"/>
      <c r="N793" s="37"/>
      <c r="O793" s="38"/>
      <c r="P793" s="34"/>
      <c r="Q793" s="49"/>
      <c r="R793" s="85"/>
      <c r="S793" s="47"/>
      <c r="T793" s="42"/>
      <c r="U793" s="42"/>
      <c r="W793" s="73"/>
      <c r="X793"/>
      <c r="Y793" s="69"/>
      <c r="Z793"/>
      <c r="AA793" s="33"/>
    </row>
    <row r="794" spans="1:27" s="31" customFormat="1">
      <c r="A794" s="34"/>
      <c r="B794" s="76"/>
      <c r="C794" s="76"/>
      <c r="D794" s="43"/>
      <c r="E794" s="43"/>
      <c r="F794" s="43"/>
      <c r="G794" s="43"/>
      <c r="H794" s="43"/>
      <c r="I794" s="43"/>
      <c r="J794" s="43"/>
      <c r="K794" s="43"/>
      <c r="L794" s="43"/>
      <c r="M794" s="43"/>
      <c r="N794" s="37"/>
      <c r="O794" s="38"/>
      <c r="P794" s="34"/>
      <c r="Q794" s="49"/>
      <c r="R794" s="85"/>
      <c r="S794" s="47"/>
      <c r="T794" s="42"/>
      <c r="U794" s="42"/>
      <c r="W794" s="73"/>
      <c r="X794"/>
      <c r="Y794" s="69"/>
      <c r="Z794"/>
      <c r="AA794" s="33"/>
    </row>
    <row r="795" spans="1:27" s="31" customFormat="1">
      <c r="A795" s="34"/>
      <c r="B795" s="76"/>
      <c r="C795" s="76"/>
      <c r="D795" s="43"/>
      <c r="E795" s="43"/>
      <c r="F795" s="43"/>
      <c r="G795" s="43"/>
      <c r="H795" s="43"/>
      <c r="I795" s="43"/>
      <c r="J795" s="43"/>
      <c r="K795" s="43"/>
      <c r="L795" s="43"/>
      <c r="M795" s="43"/>
      <c r="N795" s="37"/>
      <c r="O795" s="38"/>
      <c r="P795" s="34"/>
      <c r="Q795" s="49"/>
      <c r="R795" s="85"/>
      <c r="S795" s="47"/>
      <c r="T795" s="42"/>
      <c r="U795" s="42"/>
      <c r="W795" s="73"/>
      <c r="X795"/>
      <c r="Y795" s="69"/>
      <c r="Z795"/>
      <c r="AA795" s="33"/>
    </row>
    <row r="796" spans="1:27" s="31" customFormat="1">
      <c r="A796" s="34"/>
      <c r="B796" s="76"/>
      <c r="C796" s="76"/>
      <c r="D796" s="43"/>
      <c r="E796" s="43"/>
      <c r="F796" s="43"/>
      <c r="G796" s="43"/>
      <c r="H796" s="43"/>
      <c r="I796" s="43"/>
      <c r="J796" s="43"/>
      <c r="K796" s="43"/>
      <c r="L796" s="43"/>
      <c r="M796" s="43"/>
      <c r="N796" s="37"/>
      <c r="O796" s="38"/>
      <c r="P796" s="34"/>
      <c r="Q796" s="49"/>
      <c r="R796" s="85"/>
      <c r="S796" s="47"/>
      <c r="T796" s="42"/>
      <c r="U796" s="42"/>
      <c r="W796" s="73"/>
      <c r="X796"/>
      <c r="Y796" s="69"/>
      <c r="Z796"/>
      <c r="AA796" s="33"/>
    </row>
    <row r="797" spans="1:27" s="31" customFormat="1">
      <c r="A797" s="34"/>
      <c r="B797" s="76"/>
      <c r="C797" s="76"/>
      <c r="D797" s="43"/>
      <c r="E797" s="43"/>
      <c r="F797" s="43"/>
      <c r="G797" s="43"/>
      <c r="H797" s="43"/>
      <c r="I797" s="43"/>
      <c r="J797" s="43"/>
      <c r="K797" s="43"/>
      <c r="L797" s="43"/>
      <c r="M797" s="43"/>
      <c r="N797" s="37"/>
      <c r="O797" s="38"/>
      <c r="P797" s="34"/>
      <c r="Q797" s="49"/>
      <c r="R797" s="85"/>
      <c r="S797" s="47"/>
      <c r="T797" s="42"/>
      <c r="U797" s="42"/>
      <c r="W797" s="73"/>
      <c r="X797"/>
      <c r="Y797" s="69"/>
      <c r="Z797"/>
      <c r="AA797" s="33"/>
    </row>
    <row r="798" spans="1:27" s="31" customFormat="1">
      <c r="A798" s="34"/>
      <c r="B798" s="76"/>
      <c r="C798" s="76"/>
      <c r="D798" s="43"/>
      <c r="E798" s="43"/>
      <c r="F798" s="43"/>
      <c r="G798" s="43"/>
      <c r="H798" s="43"/>
      <c r="I798" s="43"/>
      <c r="J798" s="43"/>
      <c r="K798" s="43"/>
      <c r="L798" s="43"/>
      <c r="M798" s="43"/>
      <c r="N798" s="37"/>
      <c r="O798" s="38"/>
      <c r="P798" s="34"/>
      <c r="Q798" s="49"/>
      <c r="R798" s="85"/>
      <c r="S798" s="47"/>
      <c r="T798" s="42"/>
      <c r="U798" s="42"/>
      <c r="W798" s="73"/>
      <c r="X798"/>
      <c r="Y798" s="69"/>
      <c r="Z798"/>
      <c r="AA798" s="33"/>
    </row>
    <row r="799" spans="1:27" s="31" customFormat="1">
      <c r="A799" s="34"/>
      <c r="B799" s="76"/>
      <c r="C799" s="76"/>
      <c r="D799" s="43"/>
      <c r="E799" s="43"/>
      <c r="F799" s="43"/>
      <c r="G799" s="43"/>
      <c r="H799" s="43"/>
      <c r="I799" s="43"/>
      <c r="J799" s="43"/>
      <c r="K799" s="43"/>
      <c r="L799" s="43"/>
      <c r="M799" s="43"/>
      <c r="N799" s="37"/>
      <c r="O799" s="38"/>
      <c r="P799" s="34"/>
      <c r="Q799" s="49"/>
      <c r="R799" s="85"/>
      <c r="S799" s="47"/>
      <c r="T799" s="42"/>
      <c r="U799" s="42"/>
      <c r="W799" s="73"/>
      <c r="X799"/>
      <c r="Y799" s="69"/>
      <c r="Z799"/>
      <c r="AA799" s="33"/>
    </row>
    <row r="800" spans="1:27" s="31" customFormat="1">
      <c r="A800" s="34"/>
      <c r="B800" s="76"/>
      <c r="C800" s="76"/>
      <c r="D800" s="43"/>
      <c r="E800" s="43"/>
      <c r="F800" s="43"/>
      <c r="G800" s="43"/>
      <c r="H800" s="43"/>
      <c r="I800" s="43"/>
      <c r="J800" s="43"/>
      <c r="K800" s="43"/>
      <c r="L800" s="43"/>
      <c r="M800" s="43"/>
      <c r="N800" s="37"/>
      <c r="O800" s="38"/>
      <c r="P800" s="34"/>
      <c r="Q800" s="49"/>
      <c r="R800" s="85"/>
      <c r="S800" s="47"/>
      <c r="T800" s="42"/>
      <c r="U800" s="42"/>
      <c r="W800" s="73"/>
      <c r="X800"/>
      <c r="Y800" s="69"/>
      <c r="Z800"/>
      <c r="AA800" s="33"/>
    </row>
    <row r="801" spans="1:27" s="31" customFormat="1">
      <c r="A801" s="34"/>
      <c r="B801" s="76"/>
      <c r="C801" s="76"/>
      <c r="D801" s="43"/>
      <c r="E801" s="43"/>
      <c r="F801" s="43"/>
      <c r="G801" s="43"/>
      <c r="H801" s="43"/>
      <c r="I801" s="43"/>
      <c r="J801" s="43"/>
      <c r="K801" s="43"/>
      <c r="L801" s="43"/>
      <c r="M801" s="43"/>
      <c r="N801" s="37"/>
      <c r="O801" s="38"/>
      <c r="P801" s="34"/>
      <c r="Q801" s="49"/>
      <c r="R801" s="85"/>
      <c r="S801" s="47"/>
      <c r="T801" s="42"/>
      <c r="U801" s="42"/>
      <c r="W801" s="73"/>
      <c r="X801"/>
      <c r="Y801" s="69"/>
      <c r="Z801"/>
      <c r="AA801" s="33"/>
    </row>
    <row r="802" spans="1:27" s="31" customFormat="1">
      <c r="A802" s="34"/>
      <c r="B802" s="76"/>
      <c r="C802" s="76"/>
      <c r="D802" s="43"/>
      <c r="E802" s="43"/>
      <c r="F802" s="43"/>
      <c r="G802" s="43"/>
      <c r="H802" s="43"/>
      <c r="I802" s="43"/>
      <c r="J802" s="43"/>
      <c r="K802" s="43"/>
      <c r="L802" s="43"/>
      <c r="M802" s="43"/>
      <c r="N802" s="37"/>
      <c r="O802" s="38"/>
      <c r="P802" s="34"/>
      <c r="Q802" s="49"/>
      <c r="R802" s="85"/>
      <c r="S802" s="47"/>
      <c r="T802" s="42"/>
      <c r="U802" s="42"/>
      <c r="W802" s="73"/>
      <c r="X802"/>
      <c r="Y802" s="69"/>
      <c r="Z802"/>
      <c r="AA802" s="33"/>
    </row>
    <row r="803" spans="1:27" s="31" customFormat="1">
      <c r="A803" s="34"/>
      <c r="B803" s="76"/>
      <c r="C803" s="76"/>
      <c r="D803" s="43"/>
      <c r="E803" s="43"/>
      <c r="F803" s="43"/>
      <c r="G803" s="43"/>
      <c r="H803" s="43"/>
      <c r="I803" s="43"/>
      <c r="J803" s="43"/>
      <c r="K803" s="43"/>
      <c r="L803" s="43"/>
      <c r="M803" s="43"/>
      <c r="N803" s="37"/>
      <c r="O803" s="38"/>
      <c r="P803" s="34"/>
      <c r="Q803" s="49"/>
      <c r="R803" s="85"/>
      <c r="S803" s="47"/>
      <c r="T803" s="42"/>
      <c r="U803" s="42"/>
      <c r="W803" s="73"/>
      <c r="X803"/>
      <c r="Y803" s="69"/>
      <c r="Z803"/>
      <c r="AA803" s="33"/>
    </row>
    <row r="804" spans="1:27" s="31" customFormat="1">
      <c r="A804" s="34"/>
      <c r="B804" s="76"/>
      <c r="C804" s="76"/>
      <c r="D804" s="43"/>
      <c r="E804" s="43"/>
      <c r="F804" s="43"/>
      <c r="G804" s="43"/>
      <c r="H804" s="43"/>
      <c r="I804" s="43"/>
      <c r="J804" s="43"/>
      <c r="K804" s="43"/>
      <c r="L804" s="43"/>
      <c r="M804" s="43"/>
      <c r="N804" s="37"/>
      <c r="O804" s="38"/>
      <c r="P804" s="34"/>
      <c r="Q804" s="49"/>
      <c r="R804" s="85"/>
      <c r="S804" s="47"/>
      <c r="T804" s="42"/>
      <c r="U804" s="42"/>
      <c r="W804" s="73"/>
      <c r="X804"/>
      <c r="Y804" s="69"/>
      <c r="Z804"/>
      <c r="AA804" s="33"/>
    </row>
    <row r="805" spans="1:27" s="31" customFormat="1">
      <c r="A805" s="34"/>
      <c r="B805" s="76"/>
      <c r="C805" s="76"/>
      <c r="D805" s="43"/>
      <c r="E805" s="43"/>
      <c r="F805" s="43"/>
      <c r="G805" s="43"/>
      <c r="H805" s="43"/>
      <c r="I805" s="43"/>
      <c r="J805" s="43"/>
      <c r="K805" s="43"/>
      <c r="L805" s="43"/>
      <c r="M805" s="43"/>
      <c r="N805" s="37"/>
      <c r="O805" s="38"/>
      <c r="P805" s="34"/>
      <c r="Q805" s="49"/>
      <c r="R805" s="85"/>
      <c r="S805" s="47"/>
      <c r="T805" s="42"/>
      <c r="U805" s="42"/>
      <c r="W805" s="73"/>
      <c r="X805"/>
      <c r="Y805" s="69"/>
      <c r="Z805"/>
      <c r="AA805" s="33"/>
    </row>
    <row r="806" spans="1:27" s="31" customFormat="1">
      <c r="A806" s="34"/>
      <c r="B806" s="76"/>
      <c r="C806" s="76"/>
      <c r="D806" s="43"/>
      <c r="E806" s="43"/>
      <c r="F806" s="43"/>
      <c r="G806" s="43"/>
      <c r="H806" s="43"/>
      <c r="I806" s="43"/>
      <c r="J806" s="43"/>
      <c r="K806" s="43"/>
      <c r="L806" s="43"/>
      <c r="M806" s="43"/>
      <c r="N806" s="37"/>
      <c r="O806" s="38"/>
      <c r="P806" s="34"/>
      <c r="Q806" s="49"/>
      <c r="R806" s="85"/>
      <c r="S806" s="47"/>
      <c r="T806" s="42"/>
      <c r="U806" s="42"/>
      <c r="W806" s="73"/>
      <c r="X806"/>
      <c r="Y806" s="69"/>
      <c r="Z806"/>
      <c r="AA806" s="33"/>
    </row>
    <row r="807" spans="1:27" s="31" customFormat="1">
      <c r="A807" s="34"/>
      <c r="B807" s="76"/>
      <c r="C807" s="76"/>
      <c r="D807" s="43"/>
      <c r="E807" s="43"/>
      <c r="F807" s="43"/>
      <c r="G807" s="43"/>
      <c r="H807" s="43"/>
      <c r="I807" s="43"/>
      <c r="J807" s="43"/>
      <c r="K807" s="43"/>
      <c r="L807" s="43"/>
      <c r="M807" s="43"/>
      <c r="N807" s="37"/>
      <c r="O807" s="38"/>
      <c r="P807" s="34"/>
      <c r="Q807" s="49"/>
      <c r="R807" s="85"/>
      <c r="S807" s="47"/>
      <c r="T807" s="42"/>
      <c r="U807" s="42"/>
      <c r="W807" s="73"/>
      <c r="X807"/>
      <c r="Y807" s="69"/>
      <c r="Z807"/>
      <c r="AA807" s="33"/>
    </row>
    <row r="808" spans="1:27" s="31" customFormat="1">
      <c r="A808" s="34"/>
      <c r="B808" s="76"/>
      <c r="C808" s="76"/>
      <c r="D808" s="43"/>
      <c r="E808" s="43"/>
      <c r="F808" s="43"/>
      <c r="G808" s="43"/>
      <c r="H808" s="43"/>
      <c r="I808" s="43"/>
      <c r="J808" s="43"/>
      <c r="K808" s="43"/>
      <c r="L808" s="43"/>
      <c r="M808" s="43"/>
      <c r="N808" s="37"/>
      <c r="O808" s="38"/>
      <c r="P808" s="34"/>
      <c r="Q808" s="34"/>
      <c r="R808" s="76"/>
      <c r="S808" s="47"/>
      <c r="T808" s="42"/>
      <c r="U808" s="42"/>
      <c r="W808" s="73"/>
      <c r="X808"/>
      <c r="Y808" s="69"/>
      <c r="Z808"/>
      <c r="AA808" s="33"/>
    </row>
    <row r="809" spans="1:27" s="31" customFormat="1">
      <c r="A809" s="34"/>
      <c r="B809" s="76"/>
      <c r="C809" s="76"/>
      <c r="D809" s="43"/>
      <c r="E809" s="43"/>
      <c r="F809" s="43"/>
      <c r="G809" s="43"/>
      <c r="H809" s="43"/>
      <c r="I809" s="43"/>
      <c r="J809" s="43"/>
      <c r="K809" s="43"/>
      <c r="L809" s="43"/>
      <c r="M809" s="43"/>
      <c r="N809" s="37"/>
      <c r="O809" s="38"/>
      <c r="P809" s="34"/>
      <c r="Q809" s="34"/>
      <c r="R809" s="76"/>
      <c r="S809" s="47"/>
      <c r="T809" s="42"/>
      <c r="U809" s="42"/>
      <c r="W809" s="73"/>
      <c r="X809"/>
      <c r="Y809" s="69"/>
      <c r="Z809"/>
      <c r="AA809" s="33"/>
    </row>
    <row r="810" spans="1:27" s="31" customFormat="1">
      <c r="A810" s="34"/>
      <c r="B810" s="76"/>
      <c r="C810" s="76"/>
      <c r="D810" s="43"/>
      <c r="E810" s="43"/>
      <c r="F810" s="43"/>
      <c r="G810" s="43"/>
      <c r="H810" s="43"/>
      <c r="I810" s="43"/>
      <c r="J810" s="43"/>
      <c r="K810" s="43"/>
      <c r="L810" s="43"/>
      <c r="M810" s="43"/>
      <c r="N810" s="37"/>
      <c r="O810" s="38"/>
      <c r="P810" s="34"/>
      <c r="Q810" s="34"/>
      <c r="R810" s="76"/>
      <c r="S810" s="47"/>
      <c r="T810" s="42"/>
      <c r="U810" s="42"/>
      <c r="W810" s="73"/>
      <c r="X810"/>
      <c r="Y810" s="69"/>
      <c r="Z810"/>
      <c r="AA810" s="33"/>
    </row>
    <row r="811" spans="1:27" s="31" customFormat="1">
      <c r="A811" s="34"/>
      <c r="B811" s="76"/>
      <c r="C811" s="76"/>
      <c r="D811" s="43"/>
      <c r="E811" s="43"/>
      <c r="F811" s="43"/>
      <c r="G811" s="43"/>
      <c r="H811" s="43"/>
      <c r="I811" s="43"/>
      <c r="J811" s="43"/>
      <c r="K811" s="43"/>
      <c r="L811" s="43"/>
      <c r="M811" s="43"/>
      <c r="N811" s="37"/>
      <c r="O811" s="38"/>
      <c r="P811" s="34"/>
      <c r="Q811" s="34"/>
      <c r="R811" s="76"/>
      <c r="S811" s="47"/>
      <c r="T811" s="42"/>
      <c r="U811" s="42"/>
      <c r="W811" s="73"/>
      <c r="X811"/>
      <c r="Y811" s="69"/>
      <c r="Z811"/>
      <c r="AA811" s="33"/>
    </row>
    <row r="812" spans="1:27" s="31" customFormat="1">
      <c r="A812" s="34"/>
      <c r="B812" s="76"/>
      <c r="C812" s="76"/>
      <c r="D812" s="43"/>
      <c r="E812" s="43"/>
      <c r="F812" s="43"/>
      <c r="G812" s="43"/>
      <c r="H812" s="43"/>
      <c r="I812" s="43"/>
      <c r="J812" s="43"/>
      <c r="K812" s="43"/>
      <c r="L812" s="43"/>
      <c r="M812" s="43"/>
      <c r="N812" s="37"/>
      <c r="O812" s="38"/>
      <c r="P812" s="34"/>
      <c r="Q812" s="34"/>
      <c r="R812" s="76"/>
      <c r="S812" s="47"/>
      <c r="T812" s="42"/>
      <c r="U812" s="42"/>
      <c r="W812" s="73"/>
      <c r="X812"/>
      <c r="Y812" s="69"/>
      <c r="Z812"/>
      <c r="AA812" s="33"/>
    </row>
    <row r="813" spans="1:27" s="31" customFormat="1">
      <c r="A813" s="34"/>
      <c r="B813" s="76"/>
      <c r="C813" s="76"/>
      <c r="D813" s="43"/>
      <c r="E813" s="43"/>
      <c r="F813" s="43"/>
      <c r="G813" s="43"/>
      <c r="H813" s="43"/>
      <c r="I813" s="43"/>
      <c r="J813" s="43"/>
      <c r="K813" s="43"/>
      <c r="L813" s="43"/>
      <c r="M813" s="43"/>
      <c r="N813" s="37"/>
      <c r="O813" s="38"/>
      <c r="P813" s="34"/>
      <c r="Q813" s="34"/>
      <c r="R813" s="76"/>
      <c r="S813" s="47"/>
      <c r="T813" s="42"/>
      <c r="U813" s="42"/>
      <c r="W813" s="73"/>
      <c r="X813"/>
      <c r="Y813" s="69"/>
      <c r="Z813"/>
      <c r="AA813" s="33"/>
    </row>
    <row r="814" spans="1:27" s="31" customFormat="1">
      <c r="A814" s="34"/>
      <c r="B814" s="76"/>
      <c r="C814" s="76"/>
      <c r="D814" s="43"/>
      <c r="E814" s="43"/>
      <c r="F814" s="43"/>
      <c r="G814" s="43"/>
      <c r="H814" s="43"/>
      <c r="I814" s="43"/>
      <c r="J814" s="43"/>
      <c r="K814" s="43"/>
      <c r="L814" s="43"/>
      <c r="M814" s="43"/>
      <c r="N814" s="37"/>
      <c r="O814" s="38"/>
      <c r="P814" s="34"/>
      <c r="Q814" s="34"/>
      <c r="R814" s="76"/>
      <c r="S814" s="47"/>
      <c r="T814" s="42"/>
      <c r="U814" s="42"/>
      <c r="W814" s="73"/>
      <c r="X814"/>
      <c r="Y814" s="69"/>
      <c r="Z814"/>
      <c r="AA814" s="33"/>
    </row>
    <row r="815" spans="1:27" s="31" customFormat="1">
      <c r="A815" s="34"/>
      <c r="B815" s="76"/>
      <c r="C815" s="76"/>
      <c r="D815" s="43"/>
      <c r="E815" s="43"/>
      <c r="F815" s="43"/>
      <c r="G815" s="43"/>
      <c r="H815" s="43"/>
      <c r="I815" s="43"/>
      <c r="J815" s="43"/>
      <c r="K815" s="43"/>
      <c r="L815" s="43"/>
      <c r="M815" s="43"/>
      <c r="N815" s="37"/>
      <c r="O815" s="38"/>
      <c r="P815" s="34"/>
      <c r="Q815" s="34"/>
      <c r="R815" s="76"/>
      <c r="S815" s="47"/>
      <c r="T815" s="42"/>
      <c r="U815" s="42"/>
      <c r="W815" s="73"/>
      <c r="X815"/>
      <c r="Y815" s="69"/>
      <c r="Z815"/>
      <c r="AA815" s="33"/>
    </row>
    <row r="816" spans="1:27" s="31" customFormat="1">
      <c r="A816" s="34"/>
      <c r="B816" s="76"/>
      <c r="C816" s="76"/>
      <c r="D816" s="43"/>
      <c r="E816" s="43"/>
      <c r="F816" s="43"/>
      <c r="G816" s="43"/>
      <c r="H816" s="43"/>
      <c r="I816" s="43"/>
      <c r="J816" s="43"/>
      <c r="K816" s="43"/>
      <c r="L816" s="43"/>
      <c r="M816" s="43"/>
      <c r="N816" s="37"/>
      <c r="O816" s="38"/>
      <c r="P816" s="34"/>
      <c r="Q816" s="34"/>
      <c r="R816" s="76"/>
      <c r="S816" s="47"/>
      <c r="T816" s="42"/>
      <c r="U816" s="42"/>
      <c r="W816" s="73"/>
      <c r="X816"/>
      <c r="Y816" s="69"/>
      <c r="Z816"/>
      <c r="AA816" s="33"/>
    </row>
    <row r="817" spans="1:27" s="31" customFormat="1">
      <c r="A817" s="34"/>
      <c r="B817" s="76"/>
      <c r="C817" s="76"/>
      <c r="D817" s="43"/>
      <c r="E817" s="43"/>
      <c r="F817" s="43"/>
      <c r="G817" s="43"/>
      <c r="H817" s="43"/>
      <c r="I817" s="43"/>
      <c r="J817" s="43"/>
      <c r="K817" s="43"/>
      <c r="L817" s="43"/>
      <c r="M817" s="43"/>
      <c r="N817" s="37"/>
      <c r="O817" s="38"/>
      <c r="P817" s="34"/>
      <c r="Q817" s="34"/>
      <c r="R817" s="76"/>
      <c r="S817" s="47"/>
      <c r="T817" s="42"/>
      <c r="U817" s="42"/>
      <c r="W817" s="73"/>
      <c r="X817"/>
      <c r="Y817" s="69"/>
      <c r="Z817"/>
      <c r="AA817" s="33"/>
    </row>
    <row r="818" spans="1:27" s="31" customFormat="1">
      <c r="A818" s="34"/>
      <c r="B818" s="76"/>
      <c r="C818" s="76"/>
      <c r="D818" s="43"/>
      <c r="E818" s="43"/>
      <c r="F818" s="43"/>
      <c r="G818" s="43"/>
      <c r="H818" s="43"/>
      <c r="I818" s="43"/>
      <c r="J818" s="43"/>
      <c r="K818" s="43"/>
      <c r="L818" s="43"/>
      <c r="M818" s="43"/>
      <c r="N818" s="37"/>
      <c r="O818" s="38"/>
      <c r="P818" s="34"/>
      <c r="Q818" s="34"/>
      <c r="R818" s="76"/>
      <c r="S818" s="47"/>
      <c r="T818" s="42"/>
      <c r="U818" s="42"/>
      <c r="W818" s="73"/>
      <c r="X818"/>
      <c r="Y818" s="69"/>
      <c r="Z818"/>
      <c r="AA818" s="33"/>
    </row>
    <row r="819" spans="1:27" s="31" customFormat="1">
      <c r="A819" s="34"/>
      <c r="B819" s="76"/>
      <c r="C819" s="76"/>
      <c r="D819" s="43"/>
      <c r="E819" s="43"/>
      <c r="F819" s="43"/>
      <c r="G819" s="43"/>
      <c r="H819" s="43"/>
      <c r="I819" s="43"/>
      <c r="J819" s="43"/>
      <c r="K819" s="43"/>
      <c r="L819" s="43"/>
      <c r="M819" s="43"/>
      <c r="N819" s="37"/>
      <c r="O819" s="38"/>
      <c r="P819" s="34"/>
      <c r="Q819" s="34"/>
      <c r="R819" s="76"/>
      <c r="S819" s="47"/>
      <c r="T819" s="42"/>
      <c r="U819" s="42"/>
      <c r="W819" s="73"/>
      <c r="X819"/>
      <c r="Y819" s="69"/>
      <c r="Z819"/>
      <c r="AA819" s="33"/>
    </row>
    <row r="820" spans="1:27" s="31" customFormat="1">
      <c r="A820" s="34"/>
      <c r="B820" s="76"/>
      <c r="C820" s="76"/>
      <c r="D820" s="43"/>
      <c r="E820" s="43"/>
      <c r="F820" s="43"/>
      <c r="G820" s="43"/>
      <c r="H820" s="43"/>
      <c r="I820" s="43"/>
      <c r="J820" s="43"/>
      <c r="K820" s="43"/>
      <c r="L820" s="43"/>
      <c r="M820" s="43"/>
      <c r="N820" s="37"/>
      <c r="O820" s="38"/>
      <c r="P820" s="34"/>
      <c r="Q820" s="34"/>
      <c r="R820" s="76"/>
      <c r="S820" s="47"/>
      <c r="T820" s="42"/>
      <c r="U820" s="42"/>
      <c r="W820" s="73"/>
      <c r="X820"/>
      <c r="Y820" s="69"/>
      <c r="Z820"/>
      <c r="AA820" s="33"/>
    </row>
    <row r="821" spans="1:27" s="31" customFormat="1">
      <c r="A821" s="34"/>
      <c r="B821" s="76"/>
      <c r="C821" s="76"/>
      <c r="D821" s="43"/>
      <c r="E821" s="43"/>
      <c r="F821" s="43"/>
      <c r="G821" s="43"/>
      <c r="H821" s="43"/>
      <c r="I821" s="43"/>
      <c r="J821" s="43"/>
      <c r="K821" s="43"/>
      <c r="L821" s="43"/>
      <c r="M821" s="43"/>
      <c r="N821" s="37"/>
      <c r="O821" s="38"/>
      <c r="P821" s="34"/>
      <c r="Q821" s="34"/>
      <c r="R821" s="76"/>
      <c r="S821" s="47"/>
      <c r="T821" s="42"/>
      <c r="U821" s="42"/>
      <c r="W821" s="73"/>
      <c r="X821"/>
      <c r="Y821" s="69"/>
      <c r="Z821"/>
      <c r="AA821" s="33"/>
    </row>
    <row r="822" spans="1:27" s="31" customFormat="1">
      <c r="A822" s="34"/>
      <c r="B822" s="76"/>
      <c r="C822" s="76"/>
      <c r="D822" s="43"/>
      <c r="E822" s="43"/>
      <c r="F822" s="43"/>
      <c r="G822" s="43"/>
      <c r="H822" s="43"/>
      <c r="I822" s="43"/>
      <c r="J822" s="43"/>
      <c r="K822" s="43"/>
      <c r="L822" s="43"/>
      <c r="M822" s="43"/>
      <c r="N822" s="37"/>
      <c r="O822" s="38"/>
      <c r="P822" s="34"/>
      <c r="Q822" s="34"/>
      <c r="R822" s="76"/>
      <c r="S822" s="47"/>
      <c r="T822" s="42"/>
      <c r="U822" s="42"/>
      <c r="W822" s="73"/>
      <c r="X822"/>
      <c r="Y822" s="69"/>
      <c r="Z822"/>
      <c r="AA822" s="33"/>
    </row>
    <row r="823" spans="1:27" s="31" customFormat="1">
      <c r="A823" s="34"/>
      <c r="B823" s="76"/>
      <c r="C823" s="76"/>
      <c r="D823" s="43"/>
      <c r="E823" s="43"/>
      <c r="F823" s="43"/>
      <c r="G823" s="43"/>
      <c r="H823" s="43"/>
      <c r="I823" s="43"/>
      <c r="J823" s="43"/>
      <c r="K823" s="43"/>
      <c r="L823" s="43"/>
      <c r="M823" s="43"/>
      <c r="N823" s="37"/>
      <c r="O823" s="38"/>
      <c r="P823" s="34"/>
      <c r="Q823" s="34"/>
      <c r="R823" s="76"/>
      <c r="S823" s="47"/>
      <c r="T823" s="42"/>
      <c r="U823" s="42"/>
      <c r="W823" s="73"/>
      <c r="X823"/>
      <c r="Y823" s="69"/>
      <c r="Z823"/>
      <c r="AA823" s="33"/>
    </row>
    <row r="824" spans="1:27" s="31" customFormat="1">
      <c r="A824" s="34"/>
      <c r="B824" s="76"/>
      <c r="C824" s="76"/>
      <c r="D824" s="43"/>
      <c r="E824" s="43"/>
      <c r="F824" s="43"/>
      <c r="G824" s="43"/>
      <c r="H824" s="43"/>
      <c r="I824" s="43"/>
      <c r="J824" s="43"/>
      <c r="K824" s="43"/>
      <c r="L824" s="43"/>
      <c r="M824" s="43"/>
      <c r="N824" s="37"/>
      <c r="O824" s="38"/>
      <c r="P824" s="34"/>
      <c r="Q824" s="34"/>
      <c r="R824" s="76"/>
      <c r="S824" s="47"/>
      <c r="T824" s="42"/>
      <c r="U824" s="42"/>
      <c r="W824" s="73"/>
      <c r="X824"/>
      <c r="Y824" s="69"/>
      <c r="Z824"/>
      <c r="AA824" s="33"/>
    </row>
    <row r="825" spans="1:27" s="31" customFormat="1">
      <c r="A825" s="34"/>
      <c r="B825" s="76"/>
      <c r="C825" s="76"/>
      <c r="D825" s="43"/>
      <c r="E825" s="43"/>
      <c r="F825" s="43"/>
      <c r="G825" s="43"/>
      <c r="H825" s="43"/>
      <c r="I825" s="43"/>
      <c r="J825" s="43"/>
      <c r="K825" s="43"/>
      <c r="L825" s="43"/>
      <c r="M825" s="43"/>
      <c r="N825" s="37"/>
      <c r="O825" s="38"/>
      <c r="P825" s="34"/>
      <c r="Q825" s="34"/>
      <c r="R825" s="76"/>
      <c r="S825" s="47"/>
      <c r="T825" s="42"/>
      <c r="U825" s="42"/>
      <c r="W825" s="73"/>
      <c r="X825"/>
      <c r="Y825" s="69"/>
      <c r="Z825"/>
      <c r="AA825" s="33"/>
    </row>
    <row r="826" spans="1:27" s="31" customFormat="1">
      <c r="A826" s="34"/>
      <c r="B826" s="76"/>
      <c r="C826" s="76"/>
      <c r="D826" s="43"/>
      <c r="E826" s="43"/>
      <c r="F826" s="43"/>
      <c r="G826" s="43"/>
      <c r="H826" s="43"/>
      <c r="I826" s="43"/>
      <c r="J826" s="43"/>
      <c r="K826" s="43"/>
      <c r="L826" s="43"/>
      <c r="M826" s="43"/>
      <c r="N826" s="37"/>
      <c r="O826" s="38"/>
      <c r="P826" s="34"/>
      <c r="Q826" s="34"/>
      <c r="R826" s="76"/>
      <c r="S826" s="47"/>
      <c r="T826" s="42"/>
      <c r="U826" s="42"/>
      <c r="W826" s="73"/>
      <c r="X826"/>
      <c r="Y826" s="69"/>
      <c r="Z826"/>
      <c r="AA826" s="33"/>
    </row>
    <row r="827" spans="1:27" s="31" customFormat="1">
      <c r="A827" s="34"/>
      <c r="B827" s="76"/>
      <c r="C827" s="76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37"/>
      <c r="O827" s="38"/>
      <c r="P827" s="34"/>
      <c r="Q827" s="34"/>
      <c r="R827" s="76"/>
      <c r="S827" s="47"/>
      <c r="T827" s="42"/>
      <c r="U827" s="42"/>
      <c r="W827" s="73"/>
      <c r="X827"/>
      <c r="Y827" s="69"/>
      <c r="Z827"/>
      <c r="AA827" s="33"/>
    </row>
    <row r="828" spans="1:27" s="31" customFormat="1">
      <c r="A828" s="34"/>
      <c r="B828" s="76"/>
      <c r="C828" s="76"/>
      <c r="D828" s="43"/>
      <c r="E828" s="43"/>
      <c r="F828" s="43"/>
      <c r="G828" s="43"/>
      <c r="H828" s="43"/>
      <c r="I828" s="43"/>
      <c r="J828" s="43"/>
      <c r="K828" s="43"/>
      <c r="L828" s="43"/>
      <c r="M828" s="43"/>
      <c r="N828" s="37"/>
      <c r="O828" s="38"/>
      <c r="P828" s="34"/>
      <c r="Q828" s="34"/>
      <c r="R828" s="76"/>
      <c r="S828" s="47"/>
      <c r="T828" s="42"/>
      <c r="U828" s="42"/>
      <c r="W828" s="73"/>
      <c r="X828"/>
      <c r="Y828" s="69"/>
      <c r="Z828"/>
      <c r="AA828" s="33"/>
    </row>
    <row r="829" spans="1:27" s="31" customFormat="1">
      <c r="A829" s="34"/>
      <c r="B829" s="76"/>
      <c r="C829" s="76"/>
      <c r="D829" s="43"/>
      <c r="E829" s="43"/>
      <c r="F829" s="43"/>
      <c r="G829" s="43"/>
      <c r="H829" s="43"/>
      <c r="I829" s="43"/>
      <c r="J829" s="43"/>
      <c r="K829" s="43"/>
      <c r="L829" s="43"/>
      <c r="M829" s="43"/>
      <c r="N829" s="37"/>
      <c r="O829" s="38"/>
      <c r="P829" s="34"/>
      <c r="Q829" s="34"/>
      <c r="R829" s="76"/>
      <c r="S829" s="47"/>
      <c r="T829" s="42"/>
      <c r="U829" s="42"/>
      <c r="W829" s="73"/>
      <c r="X829"/>
      <c r="Y829" s="69"/>
      <c r="Z829"/>
      <c r="AA829" s="33"/>
    </row>
    <row r="830" spans="1:27" s="31" customFormat="1">
      <c r="A830" s="34"/>
      <c r="B830" s="76"/>
      <c r="C830" s="76"/>
      <c r="D830" s="43"/>
      <c r="E830" s="43"/>
      <c r="F830" s="43"/>
      <c r="G830" s="43"/>
      <c r="H830" s="43"/>
      <c r="I830" s="43"/>
      <c r="J830" s="43"/>
      <c r="K830" s="43"/>
      <c r="L830" s="43"/>
      <c r="M830" s="43"/>
      <c r="N830" s="37"/>
      <c r="O830" s="38"/>
      <c r="P830" s="34"/>
      <c r="Q830" s="34"/>
      <c r="R830" s="76"/>
      <c r="S830" s="47"/>
      <c r="T830" s="42"/>
      <c r="U830" s="42"/>
      <c r="W830" s="73"/>
      <c r="X830"/>
      <c r="Y830" s="69"/>
      <c r="Z830"/>
      <c r="AA830" s="33"/>
    </row>
    <row r="831" spans="1:27" s="31" customFormat="1">
      <c r="A831" s="34"/>
      <c r="B831" s="76"/>
      <c r="C831" s="76"/>
      <c r="D831" s="43"/>
      <c r="E831" s="43"/>
      <c r="F831" s="43"/>
      <c r="G831" s="43"/>
      <c r="H831" s="43"/>
      <c r="I831" s="43"/>
      <c r="J831" s="43"/>
      <c r="K831" s="43"/>
      <c r="L831" s="43"/>
      <c r="M831" s="43"/>
      <c r="N831" s="37"/>
      <c r="O831" s="38"/>
      <c r="P831" s="34"/>
      <c r="Q831" s="34"/>
      <c r="R831" s="76"/>
      <c r="S831" s="47"/>
      <c r="T831" s="42"/>
      <c r="U831" s="42"/>
      <c r="W831" s="73"/>
      <c r="X831"/>
      <c r="Y831" s="69"/>
      <c r="Z831"/>
      <c r="AA831" s="33"/>
    </row>
    <row r="832" spans="1:27" s="31" customFormat="1">
      <c r="A832" s="34"/>
      <c r="B832" s="76"/>
      <c r="C832" s="76"/>
      <c r="D832" s="43"/>
      <c r="E832" s="43"/>
      <c r="F832" s="43"/>
      <c r="G832" s="43"/>
      <c r="H832" s="43"/>
      <c r="I832" s="43"/>
      <c r="J832" s="43"/>
      <c r="K832" s="43"/>
      <c r="L832" s="43"/>
      <c r="M832" s="43"/>
      <c r="N832" s="37"/>
      <c r="O832" s="38"/>
      <c r="P832" s="34"/>
      <c r="Q832" s="34"/>
      <c r="R832" s="76"/>
      <c r="S832" s="47"/>
      <c r="T832" s="42"/>
      <c r="U832" s="42"/>
      <c r="W832" s="73"/>
      <c r="X832"/>
      <c r="Y832" s="69"/>
      <c r="Z832"/>
      <c r="AA832" s="33"/>
    </row>
    <row r="833" spans="1:27" s="31" customFormat="1">
      <c r="A833" s="34"/>
      <c r="B833" s="76"/>
      <c r="C833" s="76"/>
      <c r="D833" s="43"/>
      <c r="E833" s="43"/>
      <c r="F833" s="43"/>
      <c r="G833" s="43"/>
      <c r="H833" s="43"/>
      <c r="I833" s="43"/>
      <c r="J833" s="43"/>
      <c r="K833" s="43"/>
      <c r="L833" s="43"/>
      <c r="M833" s="43"/>
      <c r="N833" s="37"/>
      <c r="O833" s="38"/>
      <c r="P833" s="34"/>
      <c r="Q833" s="34"/>
      <c r="R833" s="76"/>
      <c r="S833" s="47"/>
      <c r="T833" s="42"/>
      <c r="U833" s="42"/>
      <c r="W833" s="73"/>
      <c r="X833"/>
      <c r="Y833" s="69"/>
      <c r="Z833"/>
      <c r="AA833" s="33"/>
    </row>
    <row r="834" spans="1:27" s="31" customFormat="1">
      <c r="A834" s="34"/>
      <c r="B834" s="76"/>
      <c r="C834" s="76"/>
      <c r="D834" s="43"/>
      <c r="E834" s="43"/>
      <c r="F834" s="43"/>
      <c r="G834" s="43"/>
      <c r="H834" s="43"/>
      <c r="I834" s="43"/>
      <c r="J834" s="43"/>
      <c r="K834" s="43"/>
      <c r="L834" s="43"/>
      <c r="M834" s="43"/>
      <c r="N834" s="37"/>
      <c r="O834" s="38"/>
      <c r="P834" s="34"/>
      <c r="Q834" s="34"/>
      <c r="R834" s="76"/>
      <c r="S834" s="47"/>
      <c r="T834" s="42"/>
      <c r="U834" s="42"/>
      <c r="W834" s="73"/>
      <c r="X834"/>
      <c r="Y834" s="69"/>
      <c r="Z834"/>
      <c r="AA834" s="33"/>
    </row>
    <row r="835" spans="1:27" s="31" customFormat="1">
      <c r="A835" s="34"/>
      <c r="B835" s="76"/>
      <c r="C835" s="76"/>
      <c r="D835" s="43"/>
      <c r="E835" s="43"/>
      <c r="F835" s="43"/>
      <c r="G835" s="43"/>
      <c r="H835" s="43"/>
      <c r="I835" s="43"/>
      <c r="J835" s="43"/>
      <c r="K835" s="43"/>
      <c r="L835" s="43"/>
      <c r="M835" s="43"/>
      <c r="N835" s="37"/>
      <c r="O835" s="38"/>
      <c r="P835" s="34"/>
      <c r="Q835" s="34"/>
      <c r="R835" s="76"/>
      <c r="S835" s="47"/>
      <c r="T835" s="42"/>
      <c r="U835" s="42"/>
      <c r="W835" s="73"/>
      <c r="X835"/>
      <c r="Y835" s="69"/>
      <c r="Z835"/>
      <c r="AA835" s="33"/>
    </row>
    <row r="836" spans="1:27" s="31" customFormat="1">
      <c r="A836" s="34"/>
      <c r="B836" s="76"/>
      <c r="C836" s="76"/>
      <c r="D836" s="43"/>
      <c r="E836" s="43"/>
      <c r="F836" s="43"/>
      <c r="G836" s="43"/>
      <c r="H836" s="43"/>
      <c r="I836" s="43"/>
      <c r="J836" s="43"/>
      <c r="K836" s="43"/>
      <c r="L836" s="43"/>
      <c r="M836" s="43"/>
      <c r="N836" s="37"/>
      <c r="O836" s="38"/>
      <c r="P836" s="34"/>
      <c r="Q836" s="34"/>
      <c r="R836" s="76"/>
      <c r="S836" s="47"/>
      <c r="T836" s="42"/>
      <c r="U836" s="42"/>
      <c r="W836" s="73"/>
      <c r="X836"/>
      <c r="Y836" s="69"/>
      <c r="Z836"/>
      <c r="AA836" s="33"/>
    </row>
    <row r="837" spans="1:27" s="31" customFormat="1">
      <c r="A837" s="34"/>
      <c r="B837" s="76"/>
      <c r="C837" s="76"/>
      <c r="D837" s="43"/>
      <c r="E837" s="43"/>
      <c r="F837" s="43"/>
      <c r="G837" s="43"/>
      <c r="H837" s="43"/>
      <c r="I837" s="43"/>
      <c r="J837" s="43"/>
      <c r="K837" s="43"/>
      <c r="L837" s="43"/>
      <c r="M837" s="43"/>
      <c r="N837" s="37"/>
      <c r="O837" s="38"/>
      <c r="P837" s="34"/>
      <c r="Q837" s="34"/>
      <c r="R837" s="76"/>
      <c r="S837" s="47"/>
      <c r="T837" s="42"/>
      <c r="U837" s="42"/>
      <c r="W837" s="73"/>
      <c r="X837"/>
      <c r="Y837" s="69"/>
      <c r="Z837"/>
      <c r="AA837" s="33"/>
    </row>
    <row r="838" spans="1:27" s="31" customFormat="1">
      <c r="A838" s="34"/>
      <c r="B838" s="76"/>
      <c r="C838" s="76"/>
      <c r="D838" s="43"/>
      <c r="E838" s="43"/>
      <c r="F838" s="43"/>
      <c r="G838" s="43"/>
      <c r="H838" s="43"/>
      <c r="I838" s="43"/>
      <c r="J838" s="43"/>
      <c r="K838" s="43"/>
      <c r="L838" s="43"/>
      <c r="M838" s="43"/>
      <c r="N838" s="37"/>
      <c r="O838" s="38"/>
      <c r="P838" s="34"/>
      <c r="Q838" s="34"/>
      <c r="R838" s="76"/>
      <c r="S838" s="47"/>
      <c r="T838" s="42"/>
      <c r="U838" s="42"/>
      <c r="W838" s="73"/>
      <c r="X838"/>
      <c r="Y838" s="69"/>
      <c r="Z838"/>
      <c r="AA838" s="33"/>
    </row>
    <row r="839" spans="1:27" s="31" customFormat="1">
      <c r="A839" s="34"/>
      <c r="B839" s="76"/>
      <c r="C839" s="76"/>
      <c r="D839" s="43"/>
      <c r="E839" s="43"/>
      <c r="F839" s="43"/>
      <c r="G839" s="43"/>
      <c r="H839" s="43"/>
      <c r="I839" s="43"/>
      <c r="J839" s="43"/>
      <c r="K839" s="43"/>
      <c r="L839" s="43"/>
      <c r="M839" s="43"/>
      <c r="N839" s="37"/>
      <c r="O839" s="38"/>
      <c r="P839" s="34"/>
      <c r="Q839" s="34"/>
      <c r="R839" s="76"/>
      <c r="S839" s="47"/>
      <c r="T839" s="42"/>
      <c r="U839" s="42"/>
      <c r="W839" s="73"/>
      <c r="X839"/>
      <c r="Y839" s="69"/>
      <c r="Z839"/>
      <c r="AA839" s="33"/>
    </row>
    <row r="840" spans="1:27" s="31" customFormat="1">
      <c r="A840" s="34"/>
      <c r="B840" s="76"/>
      <c r="C840" s="76"/>
      <c r="D840" s="43"/>
      <c r="E840" s="43"/>
      <c r="F840" s="43"/>
      <c r="G840" s="43"/>
      <c r="H840" s="43"/>
      <c r="I840" s="43"/>
      <c r="J840" s="43"/>
      <c r="K840" s="43"/>
      <c r="L840" s="43"/>
      <c r="M840" s="43"/>
      <c r="N840" s="37"/>
      <c r="O840" s="38"/>
      <c r="P840" s="34"/>
      <c r="Q840" s="34"/>
      <c r="R840" s="76"/>
      <c r="S840" s="47"/>
      <c r="T840" s="42"/>
      <c r="U840" s="42"/>
      <c r="W840" s="73"/>
      <c r="X840"/>
      <c r="Y840" s="69"/>
      <c r="Z840"/>
      <c r="AA840" s="33"/>
    </row>
    <row r="841" spans="1:27" s="31" customFormat="1">
      <c r="A841" s="34"/>
      <c r="B841" s="76"/>
      <c r="C841" s="76"/>
      <c r="D841" s="43"/>
      <c r="E841" s="43"/>
      <c r="F841" s="43"/>
      <c r="G841" s="43"/>
      <c r="H841" s="43"/>
      <c r="I841" s="43"/>
      <c r="J841" s="43"/>
      <c r="K841" s="43"/>
      <c r="L841" s="43"/>
      <c r="M841" s="43"/>
      <c r="N841" s="37"/>
      <c r="O841" s="38"/>
      <c r="P841" s="34"/>
      <c r="Q841" s="34"/>
      <c r="R841" s="76"/>
      <c r="S841" s="47"/>
      <c r="T841" s="42"/>
      <c r="U841" s="42"/>
      <c r="W841" s="73"/>
      <c r="X841"/>
      <c r="Y841" s="69"/>
      <c r="Z841"/>
      <c r="AA841" s="33"/>
    </row>
    <row r="842" spans="1:27" s="31" customFormat="1">
      <c r="A842" s="34"/>
      <c r="B842" s="76"/>
      <c r="C842" s="76"/>
      <c r="D842" s="43"/>
      <c r="E842" s="43"/>
      <c r="F842" s="43"/>
      <c r="G842" s="43"/>
      <c r="H842" s="43"/>
      <c r="I842" s="43"/>
      <c r="J842" s="43"/>
      <c r="K842" s="43"/>
      <c r="L842" s="43"/>
      <c r="M842" s="43"/>
      <c r="N842" s="37"/>
      <c r="O842" s="38"/>
      <c r="P842" s="34"/>
      <c r="Q842" s="34"/>
      <c r="R842" s="76"/>
      <c r="S842" s="47"/>
      <c r="T842" s="42"/>
      <c r="U842" s="42"/>
      <c r="W842" s="73"/>
      <c r="X842"/>
      <c r="Y842" s="69"/>
      <c r="Z842"/>
      <c r="AA842" s="33"/>
    </row>
    <row r="843" spans="1:27" s="31" customFormat="1">
      <c r="A843" s="34"/>
      <c r="B843" s="76"/>
      <c r="C843" s="76"/>
      <c r="D843" s="43"/>
      <c r="E843" s="43"/>
      <c r="F843" s="43"/>
      <c r="G843" s="43"/>
      <c r="H843" s="43"/>
      <c r="I843" s="43"/>
      <c r="J843" s="43"/>
      <c r="K843" s="43"/>
      <c r="L843" s="43"/>
      <c r="M843" s="43"/>
      <c r="N843" s="37"/>
      <c r="O843" s="38"/>
      <c r="P843" s="34"/>
      <c r="Q843" s="34"/>
      <c r="R843" s="76"/>
      <c r="S843" s="47"/>
      <c r="T843" s="42"/>
      <c r="U843" s="42"/>
      <c r="W843" s="73"/>
      <c r="X843"/>
      <c r="Y843" s="69"/>
      <c r="Z843"/>
      <c r="AA843" s="33"/>
    </row>
    <row r="844" spans="1:27" s="31" customFormat="1">
      <c r="A844" s="34"/>
      <c r="B844" s="76"/>
      <c r="C844" s="76"/>
      <c r="D844" s="43"/>
      <c r="E844" s="43"/>
      <c r="F844" s="43"/>
      <c r="G844" s="43"/>
      <c r="H844" s="43"/>
      <c r="I844" s="43"/>
      <c r="J844" s="43"/>
      <c r="K844" s="43"/>
      <c r="L844" s="43"/>
      <c r="M844" s="43"/>
      <c r="N844" s="37"/>
      <c r="O844" s="38"/>
      <c r="P844" s="34"/>
      <c r="Q844" s="34"/>
      <c r="R844" s="76"/>
      <c r="S844" s="47"/>
      <c r="T844" s="42"/>
      <c r="U844" s="42"/>
      <c r="W844" s="73"/>
      <c r="X844"/>
      <c r="Y844" s="69"/>
      <c r="Z844"/>
      <c r="AA844" s="33"/>
    </row>
    <row r="845" spans="1:27" s="31" customFormat="1">
      <c r="A845" s="34"/>
      <c r="B845" s="76"/>
      <c r="C845" s="76"/>
      <c r="D845" s="43"/>
      <c r="E845" s="43"/>
      <c r="F845" s="43"/>
      <c r="G845" s="43"/>
      <c r="H845" s="43"/>
      <c r="I845" s="43"/>
      <c r="J845" s="43"/>
      <c r="K845" s="43"/>
      <c r="L845" s="43"/>
      <c r="M845" s="43"/>
      <c r="N845" s="37"/>
      <c r="O845" s="38"/>
      <c r="P845" s="34"/>
      <c r="Q845" s="34"/>
      <c r="R845" s="76"/>
      <c r="S845" s="47"/>
      <c r="T845" s="42"/>
      <c r="U845" s="42"/>
      <c r="W845" s="73"/>
      <c r="X845"/>
      <c r="Y845" s="69"/>
      <c r="Z845"/>
      <c r="AA845" s="33"/>
    </row>
    <row r="846" spans="1:27" s="31" customFormat="1">
      <c r="A846" s="34"/>
      <c r="B846" s="76"/>
      <c r="C846" s="76"/>
      <c r="D846" s="43"/>
      <c r="E846" s="43"/>
      <c r="F846" s="43"/>
      <c r="G846" s="43"/>
      <c r="H846" s="43"/>
      <c r="I846" s="43"/>
      <c r="J846" s="43"/>
      <c r="K846" s="43"/>
      <c r="L846" s="43"/>
      <c r="M846" s="43"/>
      <c r="N846" s="37"/>
      <c r="O846" s="38"/>
      <c r="P846" s="34"/>
      <c r="Q846" s="34"/>
      <c r="R846" s="76"/>
      <c r="S846" s="47"/>
      <c r="T846" s="42"/>
      <c r="U846" s="42"/>
      <c r="W846" s="73"/>
      <c r="X846"/>
      <c r="Y846" s="69"/>
      <c r="Z846"/>
      <c r="AA846" s="33"/>
    </row>
    <row r="847" spans="1:27" s="31" customFormat="1">
      <c r="A847" s="34"/>
      <c r="B847" s="76"/>
      <c r="C847" s="76"/>
      <c r="D847" s="43"/>
      <c r="E847" s="43"/>
      <c r="F847" s="43"/>
      <c r="G847" s="43"/>
      <c r="H847" s="43"/>
      <c r="I847" s="43"/>
      <c r="J847" s="43"/>
      <c r="K847" s="43"/>
      <c r="L847" s="43"/>
      <c r="M847" s="43"/>
      <c r="N847" s="37"/>
      <c r="O847" s="38"/>
      <c r="P847" s="34"/>
      <c r="Q847" s="34"/>
      <c r="R847" s="76"/>
      <c r="S847" s="47"/>
      <c r="T847" s="42"/>
      <c r="U847" s="42"/>
      <c r="W847" s="73"/>
      <c r="X847"/>
      <c r="Y847" s="69"/>
      <c r="Z847"/>
      <c r="AA847" s="33"/>
    </row>
    <row r="848" spans="1:27" s="31" customFormat="1">
      <c r="A848" s="34"/>
      <c r="B848" s="76"/>
      <c r="C848" s="76"/>
      <c r="D848" s="43"/>
      <c r="E848" s="43"/>
      <c r="F848" s="43"/>
      <c r="G848" s="43"/>
      <c r="H848" s="43"/>
      <c r="I848" s="43"/>
      <c r="J848" s="43"/>
      <c r="K848" s="43"/>
      <c r="L848" s="43"/>
      <c r="M848" s="43"/>
      <c r="N848" s="37"/>
      <c r="O848" s="38"/>
      <c r="P848" s="34"/>
      <c r="Q848" s="34"/>
      <c r="R848" s="76"/>
      <c r="S848" s="47"/>
      <c r="T848" s="42"/>
      <c r="U848" s="42"/>
      <c r="W848" s="73"/>
      <c r="X848"/>
      <c r="Y848" s="69"/>
      <c r="Z848"/>
      <c r="AA848" s="33"/>
    </row>
    <row r="849" spans="1:27" s="31" customFormat="1">
      <c r="A849" s="34"/>
      <c r="B849" s="76"/>
      <c r="C849" s="76"/>
      <c r="D849" s="43"/>
      <c r="E849" s="43"/>
      <c r="F849" s="43"/>
      <c r="G849" s="43"/>
      <c r="H849" s="43"/>
      <c r="I849" s="43"/>
      <c r="J849" s="43"/>
      <c r="K849" s="43"/>
      <c r="L849" s="43"/>
      <c r="M849" s="43"/>
      <c r="N849" s="37"/>
      <c r="O849" s="38"/>
      <c r="P849" s="34"/>
      <c r="Q849" s="34"/>
      <c r="R849" s="76"/>
      <c r="S849" s="47"/>
      <c r="T849" s="42"/>
      <c r="U849" s="42"/>
      <c r="W849" s="73"/>
      <c r="X849"/>
      <c r="Y849" s="69"/>
      <c r="Z849"/>
      <c r="AA849" s="33"/>
    </row>
    <row r="850" spans="1:27" s="31" customFormat="1">
      <c r="A850" s="34"/>
      <c r="B850" s="76"/>
      <c r="C850" s="76"/>
      <c r="D850" s="43"/>
      <c r="E850" s="43"/>
      <c r="F850" s="43"/>
      <c r="G850" s="43"/>
      <c r="H850" s="43"/>
      <c r="I850" s="43"/>
      <c r="J850" s="43"/>
      <c r="K850" s="43"/>
      <c r="L850" s="43"/>
      <c r="M850" s="43"/>
      <c r="N850" s="37"/>
      <c r="O850" s="38"/>
      <c r="P850" s="34"/>
      <c r="Q850" s="34"/>
      <c r="R850" s="76"/>
      <c r="S850" s="47"/>
      <c r="T850" s="42"/>
      <c r="U850" s="42"/>
      <c r="W850" s="73"/>
      <c r="X850"/>
      <c r="Y850" s="69"/>
      <c r="Z850"/>
      <c r="AA850" s="33"/>
    </row>
    <row r="851" spans="1:27" s="31" customFormat="1">
      <c r="A851" s="34"/>
      <c r="B851" s="76"/>
      <c r="C851" s="76"/>
      <c r="D851" s="43"/>
      <c r="E851" s="43"/>
      <c r="F851" s="43"/>
      <c r="G851" s="43"/>
      <c r="H851" s="43"/>
      <c r="I851" s="43"/>
      <c r="J851" s="43"/>
      <c r="K851" s="43"/>
      <c r="L851" s="43"/>
      <c r="M851" s="43"/>
      <c r="N851" s="37"/>
      <c r="O851" s="38"/>
      <c r="P851" s="34"/>
      <c r="Q851" s="34"/>
      <c r="R851" s="76"/>
      <c r="S851" s="47"/>
      <c r="T851" s="42"/>
      <c r="U851" s="42"/>
      <c r="W851" s="73"/>
      <c r="X851"/>
      <c r="Y851" s="69"/>
      <c r="Z851"/>
      <c r="AA851" s="33"/>
    </row>
    <row r="852" spans="1:27" s="31" customFormat="1">
      <c r="A852" s="34"/>
      <c r="B852" s="76"/>
      <c r="C852" s="76"/>
      <c r="D852" s="43"/>
      <c r="E852" s="43"/>
      <c r="F852" s="43"/>
      <c r="G852" s="43"/>
      <c r="H852" s="43"/>
      <c r="I852" s="43"/>
      <c r="J852" s="43"/>
      <c r="K852" s="43"/>
      <c r="L852" s="43"/>
      <c r="M852" s="43"/>
      <c r="N852" s="37"/>
      <c r="O852" s="38"/>
      <c r="P852" s="34"/>
      <c r="Q852" s="34"/>
      <c r="R852" s="76"/>
      <c r="S852" s="47"/>
      <c r="T852" s="42"/>
      <c r="U852" s="42"/>
      <c r="W852" s="73"/>
      <c r="X852"/>
      <c r="Y852" s="69"/>
      <c r="Z852"/>
      <c r="AA852" s="33"/>
    </row>
    <row r="853" spans="1:27" s="31" customFormat="1" ht="21.6" customHeight="1">
      <c r="A853" s="34"/>
      <c r="B853" s="76"/>
      <c r="C853" s="76"/>
      <c r="D853" s="43"/>
      <c r="E853" s="43"/>
      <c r="F853" s="43"/>
      <c r="G853" s="43"/>
      <c r="H853" s="43"/>
      <c r="I853" s="43"/>
      <c r="J853" s="43"/>
      <c r="K853" s="43"/>
      <c r="L853" s="43"/>
      <c r="M853" s="43"/>
      <c r="N853" s="37"/>
      <c r="O853" s="38"/>
      <c r="P853" s="34"/>
      <c r="Q853" s="34"/>
      <c r="R853" s="76"/>
      <c r="S853" s="47"/>
      <c r="T853" s="42"/>
      <c r="U853" s="42"/>
      <c r="W853" s="73"/>
      <c r="X853"/>
      <c r="Y853" s="69"/>
      <c r="Z853"/>
      <c r="AA853" s="33"/>
    </row>
    <row r="854" spans="1:27" s="31" customFormat="1" ht="31.9" customHeight="1">
      <c r="A854" s="34"/>
      <c r="B854" s="76"/>
      <c r="C854" s="76"/>
      <c r="D854" s="43"/>
      <c r="E854" s="43"/>
      <c r="F854" s="43"/>
      <c r="G854" s="43"/>
      <c r="H854" s="43"/>
      <c r="I854" s="43"/>
      <c r="J854" s="43"/>
      <c r="K854" s="43"/>
      <c r="L854" s="43"/>
      <c r="M854" s="43"/>
      <c r="N854" s="37"/>
      <c r="O854" s="38"/>
      <c r="P854" s="34"/>
      <c r="Q854" s="34"/>
      <c r="R854" s="76"/>
      <c r="S854" s="47"/>
      <c r="T854" s="42"/>
      <c r="U854" s="42"/>
      <c r="W854" s="73"/>
      <c r="X854"/>
      <c r="Y854" s="69"/>
      <c r="Z854"/>
      <c r="AA854" s="33"/>
    </row>
    <row r="855" spans="1:27" s="31" customFormat="1" ht="31.9" customHeight="1">
      <c r="A855" s="34"/>
      <c r="B855" s="76"/>
      <c r="C855" s="76"/>
      <c r="D855" s="43"/>
      <c r="E855" s="43"/>
      <c r="F855" s="43"/>
      <c r="G855" s="43"/>
      <c r="H855" s="43"/>
      <c r="I855" s="43"/>
      <c r="J855" s="43"/>
      <c r="K855" s="43"/>
      <c r="L855" s="43"/>
      <c r="M855" s="43"/>
      <c r="N855" s="37"/>
      <c r="O855" s="38"/>
      <c r="P855" s="34"/>
      <c r="Q855" s="34"/>
      <c r="R855" s="76"/>
      <c r="S855" s="47"/>
      <c r="T855" s="42"/>
      <c r="U855" s="42"/>
      <c r="W855" s="73"/>
      <c r="X855"/>
      <c r="Y855" s="69"/>
      <c r="Z855"/>
      <c r="AA855" s="33"/>
    </row>
    <row r="856" spans="1:27" s="31" customFormat="1" ht="31.9" customHeight="1">
      <c r="A856" s="34"/>
      <c r="B856" s="76"/>
      <c r="C856" s="76"/>
      <c r="D856" s="43"/>
      <c r="E856" s="43"/>
      <c r="F856" s="43"/>
      <c r="G856" s="43"/>
      <c r="H856" s="43"/>
      <c r="I856" s="43"/>
      <c r="J856" s="43"/>
      <c r="K856" s="43"/>
      <c r="L856" s="43"/>
      <c r="M856" s="43"/>
      <c r="N856" s="37"/>
      <c r="O856" s="38"/>
      <c r="P856" s="34"/>
      <c r="Q856" s="34"/>
      <c r="R856" s="76"/>
      <c r="S856" s="47"/>
      <c r="T856" s="42"/>
      <c r="U856" s="42"/>
      <c r="W856" s="73"/>
      <c r="X856"/>
      <c r="Y856" s="69"/>
      <c r="Z856"/>
      <c r="AA856" s="33"/>
    </row>
    <row r="857" spans="1:27" s="31" customFormat="1" ht="18" customHeight="1">
      <c r="A857" s="34"/>
      <c r="B857" s="76"/>
      <c r="C857" s="76"/>
      <c r="D857" s="43"/>
      <c r="E857" s="43"/>
      <c r="F857" s="43"/>
      <c r="G857" s="43"/>
      <c r="H857" s="43"/>
      <c r="I857" s="43"/>
      <c r="J857" s="43"/>
      <c r="K857" s="43"/>
      <c r="L857" s="43"/>
      <c r="M857" s="43"/>
      <c r="N857" s="37"/>
      <c r="O857" s="38"/>
      <c r="P857" s="34"/>
      <c r="Q857" s="34"/>
      <c r="R857" s="76"/>
      <c r="S857" s="47"/>
      <c r="T857" s="42"/>
      <c r="U857" s="42"/>
      <c r="W857" s="73"/>
      <c r="X857"/>
      <c r="Y857" s="69"/>
      <c r="Z857"/>
      <c r="AA857" s="33"/>
    </row>
    <row r="858" spans="1:27" s="31" customFormat="1" ht="18" customHeight="1">
      <c r="A858" s="34"/>
      <c r="B858" s="76"/>
      <c r="C858" s="76"/>
      <c r="D858" s="43"/>
      <c r="E858" s="43"/>
      <c r="F858" s="43"/>
      <c r="G858" s="43"/>
      <c r="H858" s="43"/>
      <c r="I858" s="43"/>
      <c r="J858" s="43"/>
      <c r="K858" s="43"/>
      <c r="L858" s="43"/>
      <c r="M858" s="43"/>
      <c r="N858" s="37"/>
      <c r="O858" s="38"/>
      <c r="P858" s="34"/>
      <c r="Q858" s="34"/>
      <c r="R858" s="76"/>
      <c r="S858" s="47"/>
      <c r="T858" s="42"/>
      <c r="U858" s="42"/>
      <c r="W858" s="73"/>
      <c r="X858"/>
      <c r="Y858" s="69"/>
      <c r="Z858"/>
      <c r="AA858" s="33"/>
    </row>
    <row r="859" spans="1:27" s="31" customFormat="1" ht="18.600000000000001" customHeight="1">
      <c r="A859" s="34"/>
      <c r="B859" s="76"/>
      <c r="C859" s="76"/>
      <c r="D859" s="43"/>
      <c r="E859" s="43"/>
      <c r="F859" s="43"/>
      <c r="G859" s="43"/>
      <c r="H859" s="43"/>
      <c r="I859" s="43"/>
      <c r="J859" s="43"/>
      <c r="K859" s="43"/>
      <c r="L859" s="43"/>
      <c r="M859" s="43"/>
      <c r="N859" s="37"/>
      <c r="O859" s="38"/>
      <c r="P859" s="34"/>
      <c r="Q859" s="34"/>
      <c r="R859" s="76"/>
      <c r="S859" s="47"/>
      <c r="T859" s="42"/>
      <c r="U859" s="42"/>
      <c r="W859" s="73"/>
      <c r="X859"/>
      <c r="Y859" s="69"/>
      <c r="Z859"/>
      <c r="AA859" s="33"/>
    </row>
    <row r="860" spans="1:27" s="31" customFormat="1">
      <c r="A860" s="34"/>
      <c r="B860" s="76"/>
      <c r="C860" s="76"/>
      <c r="D860" s="43"/>
      <c r="E860" s="43"/>
      <c r="F860" s="43"/>
      <c r="G860" s="43"/>
      <c r="H860" s="43"/>
      <c r="I860" s="43"/>
      <c r="J860" s="43"/>
      <c r="K860" s="43"/>
      <c r="L860" s="43"/>
      <c r="M860" s="43"/>
      <c r="N860" s="37"/>
      <c r="O860" s="38"/>
      <c r="P860" s="34"/>
      <c r="Q860" s="34"/>
      <c r="R860" s="76"/>
      <c r="S860" s="47"/>
      <c r="T860" s="42"/>
      <c r="U860" s="42"/>
      <c r="W860" s="73"/>
      <c r="X860"/>
      <c r="Y860" s="69"/>
      <c r="Z860"/>
      <c r="AA860" s="33"/>
    </row>
    <row r="861" spans="1:27" s="31" customFormat="1">
      <c r="A861" s="34"/>
      <c r="B861" s="76"/>
      <c r="C861" s="76"/>
      <c r="D861" s="43"/>
      <c r="E861" s="43"/>
      <c r="F861" s="43"/>
      <c r="G861" s="43"/>
      <c r="H861" s="43"/>
      <c r="I861" s="43"/>
      <c r="J861" s="43"/>
      <c r="K861" s="43"/>
      <c r="L861" s="43"/>
      <c r="M861" s="43"/>
      <c r="N861" s="37"/>
      <c r="O861" s="38"/>
      <c r="P861" s="34"/>
      <c r="Q861" s="39"/>
      <c r="R861" s="84"/>
      <c r="S861" s="47"/>
      <c r="T861" s="42"/>
      <c r="U861" s="42"/>
      <c r="W861" s="73"/>
      <c r="X861"/>
      <c r="Y861" s="69"/>
      <c r="Z861"/>
      <c r="AA861" s="33"/>
    </row>
    <row r="862" spans="1:27" s="31" customFormat="1">
      <c r="A862" s="34"/>
      <c r="B862" s="76"/>
      <c r="C862" s="76"/>
      <c r="D862" s="43"/>
      <c r="E862" s="43"/>
      <c r="F862" s="43"/>
      <c r="G862" s="43"/>
      <c r="H862" s="43"/>
      <c r="I862" s="43"/>
      <c r="J862" s="43"/>
      <c r="K862" s="43"/>
      <c r="L862" s="43"/>
      <c r="M862" s="43"/>
      <c r="N862" s="37"/>
      <c r="O862" s="38"/>
      <c r="P862" s="34"/>
      <c r="Q862" s="39"/>
      <c r="R862" s="84"/>
      <c r="S862" s="47"/>
      <c r="T862" s="42"/>
      <c r="U862" s="42"/>
      <c r="W862" s="73"/>
      <c r="X862"/>
      <c r="Y862" s="69"/>
      <c r="Z862"/>
      <c r="AA862" s="33"/>
    </row>
    <row r="863" spans="1:27" s="31" customFormat="1">
      <c r="A863" s="34"/>
      <c r="B863" s="76"/>
      <c r="C863" s="76"/>
      <c r="D863" s="43"/>
      <c r="E863" s="43"/>
      <c r="F863" s="43"/>
      <c r="G863" s="43"/>
      <c r="H863" s="43"/>
      <c r="I863" s="43"/>
      <c r="J863" s="43"/>
      <c r="K863" s="43"/>
      <c r="L863" s="43"/>
      <c r="M863" s="43"/>
      <c r="N863" s="37"/>
      <c r="O863" s="38"/>
      <c r="P863" s="34"/>
      <c r="Q863" s="39"/>
      <c r="R863" s="84"/>
      <c r="S863" s="47"/>
      <c r="T863" s="42"/>
      <c r="U863" s="42"/>
      <c r="W863" s="73"/>
      <c r="X863"/>
      <c r="Y863" s="69"/>
      <c r="Z863"/>
      <c r="AA863" s="33"/>
    </row>
    <row r="864" spans="1:27" s="31" customFormat="1">
      <c r="A864" s="34"/>
      <c r="B864" s="76"/>
      <c r="C864" s="76"/>
      <c r="D864" s="43"/>
      <c r="E864" s="43"/>
      <c r="F864" s="43"/>
      <c r="G864" s="43"/>
      <c r="H864" s="43"/>
      <c r="I864" s="43"/>
      <c r="J864" s="43"/>
      <c r="K864" s="43"/>
      <c r="L864" s="43"/>
      <c r="M864" s="43"/>
      <c r="N864" s="37"/>
      <c r="O864" s="38"/>
      <c r="P864" s="34"/>
      <c r="Q864" s="39"/>
      <c r="R864" s="84"/>
      <c r="S864" s="47"/>
      <c r="T864" s="42"/>
      <c r="U864" s="42"/>
      <c r="W864" s="73"/>
      <c r="X864"/>
      <c r="Y864" s="69"/>
      <c r="Z864"/>
      <c r="AA864" s="33"/>
    </row>
    <row r="865" spans="1:27" s="31" customFormat="1">
      <c r="A865" s="34"/>
      <c r="B865" s="76"/>
      <c r="C865" s="76"/>
      <c r="D865" s="43"/>
      <c r="E865" s="43"/>
      <c r="F865" s="43"/>
      <c r="G865" s="43"/>
      <c r="H865" s="43"/>
      <c r="I865" s="43"/>
      <c r="J865" s="43"/>
      <c r="K865" s="43"/>
      <c r="L865" s="43"/>
      <c r="M865" s="43"/>
      <c r="N865" s="37"/>
      <c r="O865" s="38"/>
      <c r="P865" s="34"/>
      <c r="Q865" s="39"/>
      <c r="R865" s="84"/>
      <c r="S865" s="47"/>
      <c r="T865" s="42"/>
      <c r="U865" s="42"/>
      <c r="W865" s="73"/>
      <c r="X865"/>
      <c r="Y865" s="69"/>
      <c r="Z865"/>
      <c r="AA865" s="33"/>
    </row>
    <row r="866" spans="1:27" s="31" customFormat="1">
      <c r="A866" s="34"/>
      <c r="B866" s="76"/>
      <c r="C866" s="76"/>
      <c r="D866" s="43"/>
      <c r="E866" s="43"/>
      <c r="F866" s="43"/>
      <c r="G866" s="43"/>
      <c r="H866" s="43"/>
      <c r="I866" s="43"/>
      <c r="J866" s="43"/>
      <c r="K866" s="43"/>
      <c r="L866" s="43"/>
      <c r="M866" s="43"/>
      <c r="N866" s="37"/>
      <c r="O866" s="38"/>
      <c r="P866" s="34"/>
      <c r="Q866" s="39"/>
      <c r="R866" s="84"/>
      <c r="S866" s="47"/>
      <c r="T866" s="42"/>
      <c r="U866" s="42"/>
      <c r="W866" s="73"/>
      <c r="X866"/>
      <c r="Y866" s="69"/>
      <c r="Z866"/>
      <c r="AA866" s="33"/>
    </row>
    <row r="867" spans="1:27" s="31" customFormat="1">
      <c r="A867" s="34"/>
      <c r="B867" s="76"/>
      <c r="C867" s="76"/>
      <c r="D867" s="43"/>
      <c r="E867" s="43"/>
      <c r="F867" s="43"/>
      <c r="G867" s="43"/>
      <c r="H867" s="43"/>
      <c r="I867" s="43"/>
      <c r="J867" s="43"/>
      <c r="K867" s="43"/>
      <c r="L867" s="43"/>
      <c r="M867" s="43"/>
      <c r="N867" s="37"/>
      <c r="O867" s="38"/>
      <c r="P867" s="34"/>
      <c r="Q867" s="39"/>
      <c r="R867" s="84"/>
      <c r="S867" s="47"/>
      <c r="T867" s="42"/>
      <c r="U867" s="42"/>
      <c r="W867" s="73"/>
      <c r="X867"/>
      <c r="Y867" s="69"/>
      <c r="Z867"/>
      <c r="AA867" s="33"/>
    </row>
    <row r="868" spans="1:27" s="31" customFormat="1">
      <c r="A868" s="34"/>
      <c r="B868" s="76"/>
      <c r="C868" s="76"/>
      <c r="D868" s="43"/>
      <c r="E868" s="43"/>
      <c r="F868" s="43"/>
      <c r="G868" s="43"/>
      <c r="H868" s="43"/>
      <c r="I868" s="43"/>
      <c r="J868" s="43"/>
      <c r="K868" s="43"/>
      <c r="L868" s="43"/>
      <c r="M868" s="43"/>
      <c r="N868" s="37"/>
      <c r="O868" s="38"/>
      <c r="P868" s="34"/>
      <c r="Q868" s="39"/>
      <c r="R868" s="84"/>
      <c r="S868" s="47"/>
      <c r="T868" s="42"/>
      <c r="U868" s="42"/>
      <c r="W868" s="73"/>
      <c r="X868"/>
      <c r="Y868" s="69"/>
      <c r="Z868"/>
      <c r="AA868" s="33"/>
    </row>
    <row r="869" spans="1:27" s="31" customFormat="1">
      <c r="A869" s="34"/>
      <c r="B869" s="76"/>
      <c r="C869" s="76"/>
      <c r="D869" s="43"/>
      <c r="E869" s="43"/>
      <c r="F869" s="43"/>
      <c r="G869" s="43"/>
      <c r="H869" s="43"/>
      <c r="I869" s="43"/>
      <c r="J869" s="43"/>
      <c r="K869" s="43"/>
      <c r="L869" s="43"/>
      <c r="M869" s="43"/>
      <c r="N869" s="37"/>
      <c r="O869" s="38"/>
      <c r="P869" s="34"/>
      <c r="Q869" s="39"/>
      <c r="R869" s="84"/>
      <c r="S869" s="47"/>
      <c r="T869" s="42"/>
      <c r="U869" s="42"/>
      <c r="W869" s="73"/>
      <c r="X869"/>
      <c r="Y869" s="69"/>
      <c r="Z869"/>
      <c r="AA869" s="33"/>
    </row>
    <row r="870" spans="1:27" s="31" customFormat="1">
      <c r="A870" s="34"/>
      <c r="B870" s="76"/>
      <c r="C870" s="76"/>
      <c r="D870" s="43"/>
      <c r="E870" s="43"/>
      <c r="F870" s="43"/>
      <c r="G870" s="43"/>
      <c r="H870" s="43"/>
      <c r="I870" s="43"/>
      <c r="J870" s="43"/>
      <c r="K870" s="43"/>
      <c r="L870" s="43"/>
      <c r="M870" s="43"/>
      <c r="N870" s="37"/>
      <c r="O870" s="38"/>
      <c r="P870" s="34"/>
      <c r="Q870" s="39"/>
      <c r="R870" s="84"/>
      <c r="S870" s="47"/>
      <c r="T870" s="42"/>
      <c r="U870" s="42"/>
      <c r="W870" s="73"/>
      <c r="X870"/>
      <c r="Y870" s="69"/>
      <c r="Z870"/>
      <c r="AA870" s="33"/>
    </row>
    <row r="871" spans="1:27" s="31" customFormat="1">
      <c r="A871" s="34"/>
      <c r="B871" s="76"/>
      <c r="C871" s="76"/>
      <c r="D871" s="43"/>
      <c r="E871" s="43"/>
      <c r="F871" s="43"/>
      <c r="G871" s="43"/>
      <c r="H871" s="43"/>
      <c r="I871" s="43"/>
      <c r="J871" s="43"/>
      <c r="K871" s="43"/>
      <c r="L871" s="43"/>
      <c r="M871" s="43"/>
      <c r="N871" s="37"/>
      <c r="O871" s="38"/>
      <c r="P871" s="34"/>
      <c r="Q871" s="39"/>
      <c r="R871" s="84"/>
      <c r="S871" s="47"/>
      <c r="T871" s="42"/>
      <c r="U871" s="42"/>
      <c r="W871" s="73"/>
      <c r="X871"/>
      <c r="Y871" s="69"/>
      <c r="Z871"/>
      <c r="AA871" s="33"/>
    </row>
    <row r="872" spans="1:27" s="31" customFormat="1">
      <c r="A872" s="34"/>
      <c r="B872" s="76"/>
      <c r="C872" s="76"/>
      <c r="D872" s="43"/>
      <c r="E872" s="43"/>
      <c r="F872" s="43"/>
      <c r="G872" s="43"/>
      <c r="H872" s="43"/>
      <c r="I872" s="43"/>
      <c r="J872" s="43"/>
      <c r="K872" s="43"/>
      <c r="L872" s="43"/>
      <c r="M872" s="43"/>
      <c r="N872" s="37"/>
      <c r="O872" s="38"/>
      <c r="P872" s="34"/>
      <c r="Q872" s="39"/>
      <c r="R872" s="84"/>
      <c r="S872" s="47"/>
      <c r="T872" s="42"/>
      <c r="U872" s="42"/>
      <c r="W872" s="73"/>
      <c r="X872"/>
      <c r="Y872" s="69"/>
      <c r="Z872"/>
      <c r="AA872" s="33"/>
    </row>
    <row r="873" spans="1:27" s="31" customFormat="1">
      <c r="A873" s="34"/>
      <c r="B873" s="76"/>
      <c r="C873" s="76"/>
      <c r="D873" s="43"/>
      <c r="E873" s="43"/>
      <c r="F873" s="43"/>
      <c r="G873" s="43"/>
      <c r="H873" s="43"/>
      <c r="I873" s="43"/>
      <c r="J873" s="43"/>
      <c r="K873" s="43"/>
      <c r="L873" s="43"/>
      <c r="M873" s="43"/>
      <c r="N873" s="37"/>
      <c r="O873" s="38"/>
      <c r="P873" s="34"/>
      <c r="Q873" s="39"/>
      <c r="R873" s="84"/>
      <c r="S873" s="47"/>
      <c r="T873" s="42"/>
      <c r="U873" s="42"/>
      <c r="W873" s="73"/>
      <c r="X873"/>
      <c r="Y873" s="69"/>
      <c r="Z873"/>
      <c r="AA873" s="33"/>
    </row>
    <row r="874" spans="1:27" s="31" customFormat="1">
      <c r="A874" s="34"/>
      <c r="B874" s="76"/>
      <c r="C874" s="76"/>
      <c r="D874" s="43"/>
      <c r="E874" s="43"/>
      <c r="F874" s="43"/>
      <c r="G874" s="43"/>
      <c r="H874" s="43"/>
      <c r="I874" s="43"/>
      <c r="J874" s="43"/>
      <c r="K874" s="43"/>
      <c r="L874" s="43"/>
      <c r="M874" s="43"/>
      <c r="N874" s="37"/>
      <c r="O874" s="38"/>
      <c r="P874" s="34"/>
      <c r="Q874" s="39"/>
      <c r="R874" s="84"/>
      <c r="S874" s="47"/>
      <c r="T874" s="42"/>
      <c r="U874" s="42"/>
      <c r="W874" s="73"/>
      <c r="X874"/>
      <c r="Y874" s="69"/>
      <c r="Z874"/>
      <c r="AA874" s="33"/>
    </row>
    <row r="875" spans="1:27" s="31" customFormat="1">
      <c r="A875" s="34"/>
      <c r="B875" s="76"/>
      <c r="C875" s="76"/>
      <c r="D875" s="43"/>
      <c r="E875" s="43"/>
      <c r="F875" s="43"/>
      <c r="G875" s="43"/>
      <c r="H875" s="43"/>
      <c r="I875" s="43"/>
      <c r="J875" s="43"/>
      <c r="K875" s="43"/>
      <c r="L875" s="43"/>
      <c r="M875" s="43"/>
      <c r="N875" s="37"/>
      <c r="O875" s="38"/>
      <c r="P875" s="34"/>
      <c r="Q875" s="39"/>
      <c r="R875" s="84"/>
      <c r="S875" s="47"/>
      <c r="T875" s="42"/>
      <c r="U875" s="42"/>
      <c r="W875" s="73"/>
      <c r="X875"/>
      <c r="Y875" s="69"/>
      <c r="Z875"/>
      <c r="AA875" s="33"/>
    </row>
    <row r="876" spans="1:27" s="31" customFormat="1">
      <c r="A876" s="34"/>
      <c r="B876" s="76"/>
      <c r="C876" s="76"/>
      <c r="D876" s="43"/>
      <c r="E876" s="43"/>
      <c r="F876" s="43"/>
      <c r="G876" s="43"/>
      <c r="H876" s="43"/>
      <c r="I876" s="43"/>
      <c r="J876" s="43"/>
      <c r="K876" s="43"/>
      <c r="L876" s="43"/>
      <c r="M876" s="43"/>
      <c r="N876" s="37"/>
      <c r="O876" s="38"/>
      <c r="P876" s="34"/>
      <c r="Q876" s="39"/>
      <c r="R876" s="84"/>
      <c r="S876" s="47"/>
      <c r="T876" s="42"/>
      <c r="U876" s="42"/>
      <c r="W876" s="73"/>
      <c r="X876"/>
      <c r="Y876" s="69"/>
      <c r="Z876"/>
      <c r="AA876" s="33"/>
    </row>
    <row r="877" spans="1:27" s="31" customFormat="1">
      <c r="A877" s="34"/>
      <c r="B877" s="76"/>
      <c r="C877" s="76"/>
      <c r="D877" s="43"/>
      <c r="E877" s="43"/>
      <c r="F877" s="43"/>
      <c r="G877" s="43"/>
      <c r="H877" s="43"/>
      <c r="I877" s="43"/>
      <c r="J877" s="43"/>
      <c r="K877" s="43"/>
      <c r="L877" s="43"/>
      <c r="M877" s="43"/>
      <c r="N877" s="37"/>
      <c r="O877" s="38"/>
      <c r="P877" s="34"/>
      <c r="Q877" s="39"/>
      <c r="R877" s="84"/>
      <c r="S877" s="47"/>
      <c r="T877" s="42"/>
      <c r="U877" s="42"/>
      <c r="W877" s="73"/>
      <c r="X877"/>
      <c r="Y877" s="69"/>
      <c r="Z877"/>
      <c r="AA877" s="33"/>
    </row>
    <row r="878" spans="1:27" s="31" customFormat="1">
      <c r="A878" s="34"/>
      <c r="B878" s="76"/>
      <c r="C878" s="76"/>
      <c r="D878" s="43"/>
      <c r="E878" s="43"/>
      <c r="F878" s="43"/>
      <c r="G878" s="43"/>
      <c r="H878" s="43"/>
      <c r="I878" s="43"/>
      <c r="J878" s="43"/>
      <c r="K878" s="43"/>
      <c r="L878" s="43"/>
      <c r="M878" s="43"/>
      <c r="N878" s="37"/>
      <c r="O878" s="38"/>
      <c r="P878" s="34"/>
      <c r="Q878" s="34"/>
      <c r="R878" s="76"/>
      <c r="S878" s="47"/>
      <c r="T878" s="42"/>
      <c r="U878" s="42"/>
      <c r="W878" s="73"/>
      <c r="X878"/>
      <c r="Y878" s="69"/>
      <c r="Z878"/>
      <c r="AA878" s="33"/>
    </row>
    <row r="879" spans="1:27" s="31" customFormat="1">
      <c r="A879" s="34"/>
      <c r="B879" s="76"/>
      <c r="C879" s="76"/>
      <c r="D879" s="43"/>
      <c r="E879" s="43"/>
      <c r="F879" s="43"/>
      <c r="G879" s="43"/>
      <c r="H879" s="43"/>
      <c r="I879" s="43"/>
      <c r="J879" s="43"/>
      <c r="K879" s="43"/>
      <c r="L879" s="43"/>
      <c r="M879" s="43"/>
      <c r="N879" s="37"/>
      <c r="O879" s="38"/>
      <c r="P879" s="34"/>
      <c r="Q879" s="34"/>
      <c r="R879" s="76"/>
      <c r="S879" s="47"/>
      <c r="T879" s="42"/>
      <c r="U879" s="42"/>
      <c r="W879" s="73"/>
      <c r="X879"/>
      <c r="Y879" s="69"/>
      <c r="Z879"/>
      <c r="AA879" s="33"/>
    </row>
    <row r="880" spans="1:27" s="31" customFormat="1">
      <c r="A880" s="34"/>
      <c r="B880" s="76"/>
      <c r="C880" s="76"/>
      <c r="D880" s="43"/>
      <c r="E880" s="43"/>
      <c r="F880" s="43"/>
      <c r="G880" s="43"/>
      <c r="H880" s="43"/>
      <c r="I880" s="43"/>
      <c r="J880" s="43"/>
      <c r="K880" s="43"/>
      <c r="L880" s="43"/>
      <c r="M880" s="43"/>
      <c r="N880" s="37"/>
      <c r="O880" s="38"/>
      <c r="P880" s="34"/>
      <c r="Q880" s="34"/>
      <c r="R880" s="76"/>
      <c r="S880" s="47"/>
      <c r="T880" s="42"/>
      <c r="U880" s="42"/>
      <c r="W880" s="73"/>
      <c r="X880"/>
      <c r="Y880" s="69"/>
      <c r="Z880"/>
      <c r="AA880" s="33"/>
    </row>
    <row r="881" spans="1:27" s="31" customFormat="1">
      <c r="A881" s="34"/>
      <c r="B881" s="76"/>
      <c r="C881" s="76"/>
      <c r="D881" s="43"/>
      <c r="E881" s="43"/>
      <c r="F881" s="43"/>
      <c r="G881" s="43"/>
      <c r="H881" s="43"/>
      <c r="I881" s="43"/>
      <c r="J881" s="43"/>
      <c r="K881" s="43"/>
      <c r="L881" s="43"/>
      <c r="M881" s="43"/>
      <c r="N881" s="37"/>
      <c r="O881" s="38"/>
      <c r="P881" s="34"/>
      <c r="Q881" s="34"/>
      <c r="R881" s="76"/>
      <c r="S881" s="47"/>
      <c r="T881" s="42"/>
      <c r="U881" s="42"/>
      <c r="W881" s="73"/>
      <c r="X881"/>
      <c r="Y881" s="69"/>
      <c r="Z881"/>
      <c r="AA881" s="33"/>
    </row>
    <row r="882" spans="1:27" s="31" customFormat="1">
      <c r="A882" s="34"/>
      <c r="B882" s="76"/>
      <c r="C882" s="76"/>
      <c r="D882" s="43"/>
      <c r="E882" s="43"/>
      <c r="F882" s="43"/>
      <c r="G882" s="43"/>
      <c r="H882" s="43"/>
      <c r="I882" s="43"/>
      <c r="J882" s="43"/>
      <c r="K882" s="43"/>
      <c r="L882" s="43"/>
      <c r="M882" s="43"/>
      <c r="N882" s="37"/>
      <c r="O882" s="38"/>
      <c r="P882" s="34"/>
      <c r="Q882" s="34"/>
      <c r="R882" s="76"/>
      <c r="S882" s="47"/>
      <c r="T882" s="42"/>
      <c r="U882" s="42"/>
      <c r="W882" s="73"/>
      <c r="X882"/>
      <c r="Y882" s="69"/>
      <c r="Z882"/>
      <c r="AA882" s="33"/>
    </row>
    <row r="883" spans="1:27" s="31" customFormat="1">
      <c r="A883" s="34"/>
      <c r="B883" s="76"/>
      <c r="C883" s="76"/>
      <c r="D883" s="43"/>
      <c r="E883" s="43"/>
      <c r="F883" s="43"/>
      <c r="G883" s="43"/>
      <c r="H883" s="43"/>
      <c r="I883" s="43"/>
      <c r="J883" s="43"/>
      <c r="K883" s="43"/>
      <c r="L883" s="43"/>
      <c r="M883" s="43"/>
      <c r="N883" s="37"/>
      <c r="O883" s="38"/>
      <c r="P883" s="34"/>
      <c r="Q883" s="34"/>
      <c r="R883" s="76"/>
      <c r="S883" s="47"/>
      <c r="T883" s="42"/>
      <c r="U883" s="42"/>
      <c r="W883" s="73"/>
      <c r="X883"/>
      <c r="Y883" s="69"/>
      <c r="Z883"/>
      <c r="AA883" s="33"/>
    </row>
    <row r="884" spans="1:27" s="31" customFormat="1">
      <c r="A884" s="34"/>
      <c r="B884" s="76"/>
      <c r="C884" s="76"/>
      <c r="D884" s="43"/>
      <c r="E884" s="43"/>
      <c r="F884" s="43"/>
      <c r="G884" s="43"/>
      <c r="H884" s="43"/>
      <c r="I884" s="43"/>
      <c r="J884" s="43"/>
      <c r="K884" s="43"/>
      <c r="L884" s="43"/>
      <c r="M884" s="43"/>
      <c r="N884" s="37"/>
      <c r="O884" s="38"/>
      <c r="P884" s="34"/>
      <c r="Q884" s="34"/>
      <c r="R884" s="76"/>
      <c r="S884" s="47"/>
      <c r="T884" s="42"/>
      <c r="U884" s="42"/>
      <c r="W884" s="73"/>
      <c r="X884"/>
      <c r="Y884" s="69"/>
      <c r="Z884"/>
      <c r="AA884" s="33"/>
    </row>
    <row r="885" spans="1:27" s="31" customFormat="1">
      <c r="A885" s="34"/>
      <c r="B885" s="76"/>
      <c r="C885" s="76"/>
      <c r="D885" s="43"/>
      <c r="E885" s="43"/>
      <c r="F885" s="43"/>
      <c r="G885" s="43"/>
      <c r="H885" s="43"/>
      <c r="I885" s="43"/>
      <c r="J885" s="43"/>
      <c r="K885" s="43"/>
      <c r="L885" s="43"/>
      <c r="M885" s="43"/>
      <c r="N885" s="37"/>
      <c r="O885" s="38"/>
      <c r="P885" s="34"/>
      <c r="Q885" s="34"/>
      <c r="R885" s="76"/>
      <c r="S885" s="47"/>
      <c r="T885" s="42"/>
      <c r="U885" s="42"/>
      <c r="W885" s="73"/>
      <c r="X885"/>
      <c r="Y885" s="69"/>
      <c r="Z885"/>
      <c r="AA885" s="33"/>
    </row>
    <row r="886" spans="1:27" s="31" customFormat="1">
      <c r="A886" s="34"/>
      <c r="B886" s="76"/>
      <c r="C886" s="76"/>
      <c r="D886" s="43"/>
      <c r="E886" s="43"/>
      <c r="F886" s="43"/>
      <c r="G886" s="43"/>
      <c r="H886" s="43"/>
      <c r="I886" s="43"/>
      <c r="J886" s="43"/>
      <c r="K886" s="43"/>
      <c r="L886" s="43"/>
      <c r="M886" s="43"/>
      <c r="N886" s="37"/>
      <c r="O886" s="38"/>
      <c r="P886" s="34"/>
      <c r="Q886" s="34"/>
      <c r="R886" s="76"/>
      <c r="S886" s="47"/>
      <c r="T886" s="42"/>
      <c r="U886" s="42"/>
      <c r="W886" s="73"/>
      <c r="X886"/>
      <c r="Y886" s="69"/>
      <c r="Z886"/>
      <c r="AA886" s="33"/>
    </row>
    <row r="887" spans="1:27" s="31" customFormat="1">
      <c r="A887" s="34"/>
      <c r="B887" s="76"/>
      <c r="C887" s="76"/>
      <c r="D887" s="43"/>
      <c r="E887" s="43"/>
      <c r="F887" s="43"/>
      <c r="G887" s="43"/>
      <c r="H887" s="43"/>
      <c r="I887" s="43"/>
      <c r="J887" s="43"/>
      <c r="K887" s="43"/>
      <c r="L887" s="43"/>
      <c r="M887" s="43"/>
      <c r="N887" s="37"/>
      <c r="O887" s="38"/>
      <c r="P887" s="34"/>
      <c r="Q887" s="34"/>
      <c r="R887" s="76"/>
      <c r="S887" s="47"/>
      <c r="T887" s="42"/>
      <c r="U887" s="42"/>
      <c r="W887" s="73"/>
      <c r="X887"/>
      <c r="Y887" s="69"/>
      <c r="Z887"/>
      <c r="AA887" s="33"/>
    </row>
    <row r="888" spans="1:27" s="31" customFormat="1">
      <c r="A888" s="34"/>
      <c r="B888" s="76"/>
      <c r="C888" s="76"/>
      <c r="D888" s="43"/>
      <c r="E888" s="43"/>
      <c r="F888" s="43"/>
      <c r="G888" s="43"/>
      <c r="H888" s="43"/>
      <c r="I888" s="43"/>
      <c r="J888" s="43"/>
      <c r="K888" s="43"/>
      <c r="L888" s="43"/>
      <c r="M888" s="43"/>
      <c r="N888" s="37"/>
      <c r="O888" s="38"/>
      <c r="P888" s="34"/>
      <c r="Q888" s="34"/>
      <c r="R888" s="76"/>
      <c r="S888" s="47"/>
      <c r="T888" s="42"/>
      <c r="U888" s="42"/>
      <c r="W888" s="73"/>
      <c r="X888"/>
      <c r="Y888" s="69"/>
      <c r="Z888"/>
      <c r="AA888" s="33"/>
    </row>
    <row r="889" spans="1:27" s="31" customFormat="1">
      <c r="A889" s="34"/>
      <c r="B889" s="76"/>
      <c r="C889" s="76"/>
      <c r="D889" s="43"/>
      <c r="E889" s="43"/>
      <c r="F889" s="43"/>
      <c r="G889" s="43"/>
      <c r="H889" s="43"/>
      <c r="I889" s="43"/>
      <c r="J889" s="43"/>
      <c r="K889" s="43"/>
      <c r="L889" s="43"/>
      <c r="M889" s="43"/>
      <c r="N889" s="37"/>
      <c r="O889" s="38"/>
      <c r="P889" s="34"/>
      <c r="Q889" s="34"/>
      <c r="R889" s="76"/>
      <c r="S889" s="47"/>
      <c r="T889" s="42"/>
      <c r="U889" s="42"/>
      <c r="W889" s="73"/>
      <c r="X889"/>
      <c r="Y889" s="69"/>
      <c r="Z889"/>
      <c r="AA889" s="33"/>
    </row>
    <row r="890" spans="1:27" s="31" customFormat="1">
      <c r="A890" s="34"/>
      <c r="B890" s="76"/>
      <c r="C890" s="76"/>
      <c r="D890" s="43"/>
      <c r="E890" s="43"/>
      <c r="F890" s="43"/>
      <c r="G890" s="43"/>
      <c r="H890" s="43"/>
      <c r="I890" s="43"/>
      <c r="J890" s="43"/>
      <c r="K890" s="43"/>
      <c r="L890" s="43"/>
      <c r="M890" s="43"/>
      <c r="N890" s="37"/>
      <c r="O890" s="38"/>
      <c r="P890" s="34"/>
      <c r="Q890" s="34"/>
      <c r="R890" s="76"/>
      <c r="S890" s="47"/>
      <c r="T890" s="42"/>
      <c r="U890" s="42"/>
      <c r="W890" s="73"/>
      <c r="X890"/>
      <c r="Y890" s="69"/>
      <c r="Z890"/>
      <c r="AA890" s="33"/>
    </row>
    <row r="891" spans="1:27" s="31" customFormat="1">
      <c r="A891" s="34"/>
      <c r="B891" s="76"/>
      <c r="C891" s="76"/>
      <c r="D891" s="43"/>
      <c r="E891" s="43"/>
      <c r="F891" s="43"/>
      <c r="G891" s="43"/>
      <c r="H891" s="43"/>
      <c r="I891" s="43"/>
      <c r="J891" s="43"/>
      <c r="K891" s="43"/>
      <c r="L891" s="43"/>
      <c r="M891" s="43"/>
      <c r="N891" s="37"/>
      <c r="O891" s="38"/>
      <c r="P891" s="34"/>
      <c r="Q891" s="34"/>
      <c r="R891" s="76"/>
      <c r="S891" s="47"/>
      <c r="T891" s="42"/>
      <c r="U891" s="42"/>
      <c r="W891" s="73"/>
      <c r="X891"/>
      <c r="Y891" s="69"/>
      <c r="Z891"/>
      <c r="AA891" s="33"/>
    </row>
    <row r="892" spans="1:27" s="31" customFormat="1">
      <c r="A892" s="34"/>
      <c r="B892" s="76"/>
      <c r="C892" s="76"/>
      <c r="D892" s="43"/>
      <c r="E892" s="43"/>
      <c r="F892" s="43"/>
      <c r="G892" s="43"/>
      <c r="H892" s="43"/>
      <c r="I892" s="43"/>
      <c r="J892" s="43"/>
      <c r="K892" s="43"/>
      <c r="L892" s="43"/>
      <c r="M892" s="43"/>
      <c r="N892" s="37"/>
      <c r="O892" s="38"/>
      <c r="P892" s="34"/>
      <c r="Q892" s="34"/>
      <c r="R892" s="76"/>
      <c r="S892" s="47"/>
      <c r="T892" s="42"/>
      <c r="U892" s="42"/>
      <c r="W892" s="73"/>
      <c r="X892"/>
      <c r="Y892" s="69"/>
      <c r="Z892"/>
      <c r="AA892" s="33"/>
    </row>
    <row r="893" spans="1:27" s="31" customFormat="1">
      <c r="A893" s="34"/>
      <c r="B893" s="76"/>
      <c r="C893" s="76"/>
      <c r="D893" s="43"/>
      <c r="E893" s="43"/>
      <c r="F893" s="43"/>
      <c r="G893" s="43"/>
      <c r="H893" s="43"/>
      <c r="I893" s="43"/>
      <c r="J893" s="43"/>
      <c r="K893" s="43"/>
      <c r="L893" s="43"/>
      <c r="M893" s="43"/>
      <c r="N893" s="37"/>
      <c r="O893" s="38"/>
      <c r="P893" s="34"/>
      <c r="Q893" s="34"/>
      <c r="R893" s="76"/>
      <c r="S893" s="47"/>
      <c r="T893" s="42"/>
      <c r="U893" s="42"/>
      <c r="W893" s="73"/>
      <c r="X893"/>
      <c r="Y893" s="69"/>
      <c r="Z893"/>
      <c r="AA893" s="33"/>
    </row>
    <row r="894" spans="1:27" s="31" customFormat="1">
      <c r="A894" s="34"/>
      <c r="B894" s="76"/>
      <c r="C894" s="76"/>
      <c r="D894" s="43"/>
      <c r="E894" s="43"/>
      <c r="F894" s="43"/>
      <c r="G894" s="43"/>
      <c r="H894" s="43"/>
      <c r="I894" s="43"/>
      <c r="J894" s="43"/>
      <c r="K894" s="43"/>
      <c r="L894" s="43"/>
      <c r="M894" s="43"/>
      <c r="N894" s="37"/>
      <c r="O894" s="38"/>
      <c r="P894" s="34"/>
      <c r="Q894" s="34"/>
      <c r="R894" s="76"/>
      <c r="S894" s="47"/>
      <c r="T894" s="42"/>
      <c r="U894" s="42"/>
      <c r="W894" s="73"/>
      <c r="X894"/>
      <c r="Y894" s="69"/>
      <c r="Z894"/>
      <c r="AA894" s="33"/>
    </row>
    <row r="895" spans="1:27" s="31" customFormat="1">
      <c r="A895" s="34"/>
      <c r="B895" s="76"/>
      <c r="C895" s="76"/>
      <c r="D895" s="43"/>
      <c r="E895" s="43"/>
      <c r="F895" s="43"/>
      <c r="G895" s="43"/>
      <c r="H895" s="43"/>
      <c r="I895" s="43"/>
      <c r="J895" s="43"/>
      <c r="K895" s="43"/>
      <c r="L895" s="43"/>
      <c r="M895" s="43"/>
      <c r="N895" s="37"/>
      <c r="O895" s="38"/>
      <c r="P895" s="34"/>
      <c r="Q895" s="34"/>
      <c r="R895" s="76"/>
      <c r="S895" s="47"/>
      <c r="T895" s="42"/>
      <c r="U895" s="42"/>
      <c r="W895" s="73"/>
      <c r="X895"/>
      <c r="Y895" s="69"/>
      <c r="Z895"/>
      <c r="AA895" s="33"/>
    </row>
    <row r="896" spans="1:27" s="31" customFormat="1">
      <c r="A896" s="34"/>
      <c r="B896" s="76"/>
      <c r="C896" s="76"/>
      <c r="D896" s="43"/>
      <c r="E896" s="43"/>
      <c r="F896" s="43"/>
      <c r="G896" s="43"/>
      <c r="H896" s="43"/>
      <c r="I896" s="43"/>
      <c r="J896" s="43"/>
      <c r="K896" s="43"/>
      <c r="L896" s="43"/>
      <c r="M896" s="43"/>
      <c r="N896" s="37"/>
      <c r="O896" s="38"/>
      <c r="P896" s="34"/>
      <c r="Q896" s="34"/>
      <c r="R896" s="76"/>
      <c r="S896" s="47"/>
      <c r="T896" s="42"/>
      <c r="U896" s="42"/>
      <c r="W896" s="73"/>
      <c r="X896"/>
      <c r="Y896" s="69"/>
      <c r="Z896"/>
      <c r="AA896" s="33"/>
    </row>
    <row r="897" spans="1:27" s="31" customFormat="1">
      <c r="A897" s="34"/>
      <c r="B897" s="76"/>
      <c r="C897" s="76"/>
      <c r="D897" s="43"/>
      <c r="E897" s="43"/>
      <c r="F897" s="43"/>
      <c r="G897" s="43"/>
      <c r="H897" s="43"/>
      <c r="I897" s="43"/>
      <c r="J897" s="43"/>
      <c r="K897" s="43"/>
      <c r="L897" s="43"/>
      <c r="M897" s="43"/>
      <c r="N897" s="37"/>
      <c r="O897" s="38"/>
      <c r="P897" s="34"/>
      <c r="Q897" s="34"/>
      <c r="R897" s="76"/>
      <c r="S897" s="47"/>
      <c r="T897" s="42"/>
      <c r="U897" s="42"/>
      <c r="W897" s="73"/>
      <c r="X897"/>
      <c r="Y897" s="69"/>
      <c r="Z897"/>
      <c r="AA897" s="33"/>
    </row>
    <row r="898" spans="1:27" s="31" customFormat="1">
      <c r="A898" s="34"/>
      <c r="B898" s="76"/>
      <c r="C898" s="76"/>
      <c r="D898" s="43"/>
      <c r="E898" s="43"/>
      <c r="F898" s="43"/>
      <c r="G898" s="43"/>
      <c r="H898" s="43"/>
      <c r="I898" s="43"/>
      <c r="J898" s="43"/>
      <c r="K898" s="43"/>
      <c r="L898" s="43"/>
      <c r="M898" s="43"/>
      <c r="N898" s="37"/>
      <c r="O898" s="38"/>
      <c r="P898" s="34"/>
      <c r="Q898" s="34"/>
      <c r="R898" s="76"/>
      <c r="S898" s="47"/>
      <c r="T898" s="42"/>
      <c r="U898" s="42"/>
      <c r="W898" s="73"/>
      <c r="X898"/>
      <c r="Y898" s="69"/>
      <c r="Z898"/>
      <c r="AA898" s="33"/>
    </row>
    <row r="899" spans="1:27" s="31" customFormat="1">
      <c r="A899" s="34"/>
      <c r="B899" s="76"/>
      <c r="C899" s="76"/>
      <c r="D899" s="43"/>
      <c r="E899" s="43"/>
      <c r="F899" s="43"/>
      <c r="G899" s="43"/>
      <c r="H899" s="43"/>
      <c r="I899" s="43"/>
      <c r="J899" s="43"/>
      <c r="K899" s="43"/>
      <c r="L899" s="43"/>
      <c r="M899" s="43"/>
      <c r="N899" s="37"/>
      <c r="O899" s="38"/>
      <c r="P899" s="34"/>
      <c r="Q899" s="34"/>
      <c r="R899" s="76"/>
      <c r="S899" s="47"/>
      <c r="T899" s="42"/>
      <c r="U899" s="42"/>
      <c r="W899" s="73"/>
      <c r="X899"/>
      <c r="Y899" s="69"/>
      <c r="Z899"/>
      <c r="AA899" s="33"/>
    </row>
    <row r="900" spans="1:27" s="31" customFormat="1">
      <c r="A900" s="34"/>
      <c r="B900" s="76"/>
      <c r="C900" s="76"/>
      <c r="D900" s="43"/>
      <c r="E900" s="43"/>
      <c r="F900" s="43"/>
      <c r="G900" s="43"/>
      <c r="H900" s="43"/>
      <c r="I900" s="43"/>
      <c r="J900" s="43"/>
      <c r="K900" s="43"/>
      <c r="L900" s="43"/>
      <c r="M900" s="43"/>
      <c r="N900" s="37"/>
      <c r="O900" s="38"/>
      <c r="P900" s="34"/>
      <c r="Q900" s="34"/>
      <c r="R900" s="76"/>
      <c r="S900" s="47"/>
      <c r="T900" s="42"/>
      <c r="U900" s="42"/>
      <c r="W900" s="73"/>
      <c r="X900"/>
      <c r="Y900" s="69"/>
      <c r="Z900"/>
      <c r="AA900" s="33"/>
    </row>
    <row r="901" spans="1:27" s="31" customFormat="1">
      <c r="A901" s="34"/>
      <c r="B901" s="76"/>
      <c r="C901" s="76"/>
      <c r="D901" s="43"/>
      <c r="E901" s="43"/>
      <c r="F901" s="43"/>
      <c r="G901" s="43"/>
      <c r="H901" s="43"/>
      <c r="I901" s="43"/>
      <c r="J901" s="43"/>
      <c r="K901" s="43"/>
      <c r="L901" s="43"/>
      <c r="M901" s="43"/>
      <c r="N901" s="37"/>
      <c r="O901" s="38"/>
      <c r="P901" s="34"/>
      <c r="Q901" s="34"/>
      <c r="R901" s="76"/>
      <c r="S901" s="47"/>
      <c r="T901" s="42"/>
      <c r="U901" s="42"/>
      <c r="W901" s="73"/>
      <c r="X901"/>
      <c r="Y901" s="69"/>
      <c r="Z901"/>
      <c r="AA901" s="33"/>
    </row>
    <row r="902" spans="1:27" s="31" customFormat="1">
      <c r="A902" s="34"/>
      <c r="B902" s="76"/>
      <c r="C902" s="76"/>
      <c r="D902" s="43"/>
      <c r="E902" s="43"/>
      <c r="F902" s="43"/>
      <c r="G902" s="43"/>
      <c r="H902" s="43"/>
      <c r="I902" s="43"/>
      <c r="J902" s="43"/>
      <c r="K902" s="43"/>
      <c r="L902" s="43"/>
      <c r="M902" s="43"/>
      <c r="N902" s="37"/>
      <c r="O902" s="38"/>
      <c r="P902" s="34"/>
      <c r="Q902" s="39"/>
      <c r="R902" s="84"/>
      <c r="S902" s="47"/>
      <c r="T902" s="42"/>
      <c r="U902" s="42"/>
      <c r="W902" s="73"/>
      <c r="X902"/>
      <c r="Y902" s="69"/>
      <c r="Z902"/>
      <c r="AA902" s="33"/>
    </row>
    <row r="903" spans="1:27" s="31" customFormat="1">
      <c r="A903" s="34"/>
      <c r="B903" s="76"/>
      <c r="C903" s="76"/>
      <c r="D903" s="43"/>
      <c r="E903" s="43"/>
      <c r="F903" s="43"/>
      <c r="G903" s="43"/>
      <c r="H903" s="43"/>
      <c r="I903" s="43"/>
      <c r="J903" s="43"/>
      <c r="K903" s="43"/>
      <c r="L903" s="43"/>
      <c r="M903" s="43"/>
      <c r="N903" s="37"/>
      <c r="O903" s="38"/>
      <c r="P903" s="34"/>
      <c r="Q903" s="39"/>
      <c r="R903" s="84"/>
      <c r="S903" s="47"/>
      <c r="T903" s="42"/>
      <c r="U903" s="42"/>
      <c r="W903" s="73"/>
      <c r="X903"/>
      <c r="Y903" s="69"/>
      <c r="Z903"/>
      <c r="AA903" s="33"/>
    </row>
    <row r="904" spans="1:27" s="31" customFormat="1">
      <c r="A904" s="34"/>
      <c r="B904" s="76"/>
      <c r="C904" s="76"/>
      <c r="D904" s="43"/>
      <c r="E904" s="43"/>
      <c r="F904" s="43"/>
      <c r="G904" s="43"/>
      <c r="H904" s="43"/>
      <c r="I904" s="43"/>
      <c r="J904" s="43"/>
      <c r="K904" s="43"/>
      <c r="L904" s="43"/>
      <c r="M904" s="43"/>
      <c r="N904" s="37"/>
      <c r="O904" s="38"/>
      <c r="P904" s="34"/>
      <c r="Q904" s="39"/>
      <c r="R904" s="84"/>
      <c r="S904" s="47"/>
      <c r="T904" s="42"/>
      <c r="U904" s="42"/>
      <c r="W904" s="73"/>
      <c r="X904"/>
      <c r="Y904" s="69"/>
      <c r="Z904"/>
      <c r="AA904" s="33"/>
    </row>
    <row r="905" spans="1:27" s="31" customFormat="1">
      <c r="A905" s="34"/>
      <c r="B905" s="76"/>
      <c r="C905" s="76"/>
      <c r="D905" s="43"/>
      <c r="E905" s="43"/>
      <c r="F905" s="43"/>
      <c r="G905" s="43"/>
      <c r="H905" s="43"/>
      <c r="I905" s="43"/>
      <c r="J905" s="43"/>
      <c r="K905" s="43"/>
      <c r="L905" s="43"/>
      <c r="M905" s="43"/>
      <c r="N905" s="37"/>
      <c r="O905" s="38"/>
      <c r="P905" s="34"/>
      <c r="Q905" s="34"/>
      <c r="R905" s="76"/>
      <c r="S905" s="47"/>
      <c r="T905" s="42"/>
      <c r="U905" s="42"/>
      <c r="W905" s="73"/>
      <c r="X905"/>
      <c r="Y905" s="69"/>
      <c r="Z905"/>
      <c r="AA905" s="33"/>
    </row>
    <row r="906" spans="1:27" s="31" customFormat="1">
      <c r="A906" s="34"/>
      <c r="B906" s="76"/>
      <c r="C906" s="76"/>
      <c r="D906" s="43"/>
      <c r="E906" s="43"/>
      <c r="F906" s="43"/>
      <c r="G906" s="43"/>
      <c r="H906" s="43"/>
      <c r="I906" s="43"/>
      <c r="J906" s="43"/>
      <c r="K906" s="43"/>
      <c r="L906" s="43"/>
      <c r="M906" s="43"/>
      <c r="N906" s="37"/>
      <c r="O906" s="38"/>
      <c r="P906" s="34"/>
      <c r="Q906" s="34"/>
      <c r="R906" s="76"/>
      <c r="S906" s="47"/>
      <c r="T906" s="42"/>
      <c r="U906" s="42"/>
      <c r="W906" s="73"/>
      <c r="X906"/>
      <c r="Y906" s="69"/>
      <c r="Z906"/>
      <c r="AA906" s="33"/>
    </row>
    <row r="907" spans="1:27" s="31" customFormat="1">
      <c r="A907" s="34"/>
      <c r="B907" s="76"/>
      <c r="C907" s="76"/>
      <c r="D907" s="43"/>
      <c r="E907" s="43"/>
      <c r="F907" s="43"/>
      <c r="G907" s="43"/>
      <c r="H907" s="43"/>
      <c r="I907" s="43"/>
      <c r="J907" s="43"/>
      <c r="K907" s="43"/>
      <c r="L907" s="43"/>
      <c r="M907" s="43"/>
      <c r="N907" s="37"/>
      <c r="O907" s="38"/>
      <c r="P907" s="34"/>
      <c r="Q907" s="34"/>
      <c r="R907" s="76"/>
      <c r="S907" s="47"/>
      <c r="T907" s="42"/>
      <c r="U907" s="42"/>
      <c r="W907" s="73"/>
      <c r="X907"/>
      <c r="Y907" s="69"/>
      <c r="Z907"/>
      <c r="AA907" s="33"/>
    </row>
    <row r="908" spans="1:27" s="31" customFormat="1">
      <c r="A908" s="34"/>
      <c r="B908" s="76"/>
      <c r="C908" s="76"/>
      <c r="D908" s="43"/>
      <c r="E908" s="43"/>
      <c r="F908" s="43"/>
      <c r="G908" s="43"/>
      <c r="H908" s="43"/>
      <c r="I908" s="43"/>
      <c r="J908" s="43"/>
      <c r="K908" s="43"/>
      <c r="L908" s="43"/>
      <c r="M908" s="43"/>
      <c r="N908" s="37"/>
      <c r="O908" s="38"/>
      <c r="P908" s="34"/>
      <c r="Q908" s="34"/>
      <c r="R908" s="76"/>
      <c r="S908" s="47"/>
      <c r="T908" s="42"/>
      <c r="U908" s="42"/>
      <c r="W908" s="73"/>
      <c r="X908"/>
      <c r="Y908" s="69"/>
      <c r="Z908"/>
      <c r="AA908" s="33"/>
    </row>
    <row r="909" spans="1:27" s="31" customFormat="1">
      <c r="A909" s="34"/>
      <c r="B909" s="76"/>
      <c r="C909" s="76"/>
      <c r="D909" s="43"/>
      <c r="E909" s="43"/>
      <c r="F909" s="43"/>
      <c r="G909" s="43"/>
      <c r="H909" s="43"/>
      <c r="I909" s="43"/>
      <c r="J909" s="43"/>
      <c r="K909" s="43"/>
      <c r="L909" s="43"/>
      <c r="M909" s="43"/>
      <c r="N909" s="37"/>
      <c r="O909" s="38"/>
      <c r="P909" s="34"/>
      <c r="Q909" s="34"/>
      <c r="R909" s="76"/>
      <c r="S909" s="47"/>
      <c r="T909" s="42"/>
      <c r="U909" s="42"/>
      <c r="W909" s="73"/>
      <c r="X909"/>
      <c r="Y909" s="69"/>
      <c r="Z909"/>
      <c r="AA909" s="33"/>
    </row>
    <row r="910" spans="1:27" s="31" customFormat="1">
      <c r="A910" s="34"/>
      <c r="B910" s="76"/>
      <c r="C910" s="76"/>
      <c r="D910" s="43"/>
      <c r="E910" s="43"/>
      <c r="F910" s="43"/>
      <c r="G910" s="43"/>
      <c r="H910" s="43"/>
      <c r="I910" s="43"/>
      <c r="J910" s="43"/>
      <c r="K910" s="43"/>
      <c r="L910" s="43"/>
      <c r="M910" s="43"/>
      <c r="N910" s="37"/>
      <c r="O910" s="38"/>
      <c r="P910" s="34"/>
      <c r="Q910" s="34"/>
      <c r="R910" s="76"/>
      <c r="S910" s="47"/>
      <c r="T910" s="42"/>
      <c r="U910" s="42"/>
      <c r="W910" s="73"/>
      <c r="X910"/>
      <c r="Y910" s="69"/>
      <c r="Z910"/>
      <c r="AA910" s="33"/>
    </row>
    <row r="911" spans="1:27" s="31" customFormat="1">
      <c r="A911" s="34"/>
      <c r="B911" s="76"/>
      <c r="C911" s="76"/>
      <c r="D911" s="43"/>
      <c r="E911" s="43"/>
      <c r="F911" s="43"/>
      <c r="G911" s="43"/>
      <c r="H911" s="43"/>
      <c r="I911" s="43"/>
      <c r="J911" s="43"/>
      <c r="K911" s="43"/>
      <c r="L911" s="43"/>
      <c r="M911" s="43"/>
      <c r="N911" s="37"/>
      <c r="O911" s="38"/>
      <c r="P911" s="34"/>
      <c r="Q911" s="34"/>
      <c r="R911" s="76"/>
      <c r="S911" s="47"/>
      <c r="T911" s="42"/>
      <c r="U911" s="42"/>
      <c r="W911" s="73"/>
      <c r="X911"/>
      <c r="Y911" s="69"/>
      <c r="Z911"/>
      <c r="AA911" s="33"/>
    </row>
    <row r="912" spans="1:27" s="31" customFormat="1">
      <c r="A912" s="34"/>
      <c r="B912" s="76"/>
      <c r="C912" s="76"/>
      <c r="D912" s="43"/>
      <c r="E912" s="43"/>
      <c r="F912" s="43"/>
      <c r="G912" s="43"/>
      <c r="H912" s="43"/>
      <c r="I912" s="43"/>
      <c r="J912" s="43"/>
      <c r="K912" s="43"/>
      <c r="L912" s="43"/>
      <c r="M912" s="43"/>
      <c r="N912" s="37"/>
      <c r="O912" s="38"/>
      <c r="P912" s="34"/>
      <c r="Q912" s="34"/>
      <c r="R912" s="76"/>
      <c r="S912" s="47"/>
      <c r="T912" s="42"/>
      <c r="U912" s="42"/>
      <c r="W912" s="73"/>
      <c r="X912"/>
      <c r="Y912" s="69"/>
      <c r="Z912"/>
      <c r="AA912" s="33"/>
    </row>
    <row r="913" spans="1:27" s="31" customFormat="1">
      <c r="A913" s="34"/>
      <c r="B913" s="76"/>
      <c r="C913" s="76"/>
      <c r="D913" s="43"/>
      <c r="E913" s="43"/>
      <c r="F913" s="43"/>
      <c r="G913" s="43"/>
      <c r="H913" s="43"/>
      <c r="I913" s="43"/>
      <c r="J913" s="43"/>
      <c r="K913" s="43"/>
      <c r="L913" s="43"/>
      <c r="M913" s="43"/>
      <c r="N913" s="37"/>
      <c r="O913" s="38"/>
      <c r="P913" s="34"/>
      <c r="Q913" s="34"/>
      <c r="R913" s="76"/>
      <c r="S913" s="47"/>
      <c r="T913" s="42"/>
      <c r="U913" s="42"/>
      <c r="W913" s="73"/>
      <c r="X913"/>
      <c r="Y913" s="69"/>
      <c r="Z913"/>
      <c r="AA913" s="33"/>
    </row>
    <row r="914" spans="1:27" s="31" customFormat="1">
      <c r="A914" s="34"/>
      <c r="B914" s="76"/>
      <c r="C914" s="76"/>
      <c r="D914" s="43"/>
      <c r="E914" s="43"/>
      <c r="F914" s="43"/>
      <c r="G914" s="43"/>
      <c r="H914" s="43"/>
      <c r="I914" s="43"/>
      <c r="J914" s="43"/>
      <c r="K914" s="43"/>
      <c r="L914" s="43"/>
      <c r="M914" s="43"/>
      <c r="N914" s="37"/>
      <c r="O914" s="38"/>
      <c r="P914" s="34"/>
      <c r="Q914" s="34"/>
      <c r="R914" s="76"/>
      <c r="S914" s="47"/>
      <c r="T914" s="42"/>
      <c r="U914" s="42"/>
      <c r="W914" s="73"/>
      <c r="X914"/>
      <c r="Y914" s="69"/>
      <c r="Z914"/>
      <c r="AA914" s="33"/>
    </row>
    <row r="915" spans="1:27" s="31" customFormat="1">
      <c r="A915" s="34"/>
      <c r="B915" s="76"/>
      <c r="C915" s="76"/>
      <c r="D915" s="43"/>
      <c r="E915" s="43"/>
      <c r="F915" s="43"/>
      <c r="G915" s="43"/>
      <c r="H915" s="43"/>
      <c r="I915" s="43"/>
      <c r="J915" s="43"/>
      <c r="K915" s="43"/>
      <c r="L915" s="43"/>
      <c r="M915" s="43"/>
      <c r="N915" s="37"/>
      <c r="O915" s="38"/>
      <c r="P915" s="34"/>
      <c r="Q915" s="34"/>
      <c r="R915" s="76"/>
      <c r="S915" s="47"/>
      <c r="T915" s="42"/>
      <c r="U915" s="42"/>
      <c r="W915" s="73"/>
      <c r="X915"/>
      <c r="Y915" s="69"/>
      <c r="Z915"/>
      <c r="AA915" s="33"/>
    </row>
    <row r="916" spans="1:27" s="31" customFormat="1">
      <c r="A916" s="34"/>
      <c r="B916" s="76"/>
      <c r="C916" s="76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37"/>
      <c r="O916" s="38"/>
      <c r="P916" s="34"/>
      <c r="Q916" s="34"/>
      <c r="R916" s="76"/>
      <c r="S916" s="47"/>
      <c r="T916" s="42"/>
      <c r="U916" s="42"/>
      <c r="W916" s="73"/>
      <c r="X916"/>
      <c r="Y916" s="69"/>
      <c r="Z916"/>
      <c r="AA916" s="33"/>
    </row>
    <row r="917" spans="1:27" s="31" customFormat="1">
      <c r="A917" s="34"/>
      <c r="B917" s="76"/>
      <c r="C917" s="76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37"/>
      <c r="O917" s="38"/>
      <c r="P917" s="34"/>
      <c r="Q917" s="34"/>
      <c r="R917" s="76"/>
      <c r="S917" s="47"/>
      <c r="T917" s="42"/>
      <c r="U917" s="42"/>
      <c r="W917" s="73"/>
      <c r="X917"/>
      <c r="Y917" s="69"/>
      <c r="Z917"/>
      <c r="AA917" s="33"/>
    </row>
    <row r="918" spans="1:27" s="31" customFormat="1">
      <c r="A918" s="34"/>
      <c r="B918" s="76"/>
      <c r="C918" s="76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37"/>
      <c r="O918" s="38"/>
      <c r="P918" s="34"/>
      <c r="Q918" s="34"/>
      <c r="R918" s="76"/>
      <c r="S918" s="47"/>
      <c r="T918" s="42"/>
      <c r="U918" s="42"/>
      <c r="W918" s="73"/>
      <c r="X918"/>
      <c r="Y918" s="69"/>
      <c r="Z918"/>
      <c r="AA918" s="33"/>
    </row>
    <row r="919" spans="1:27" s="31" customFormat="1">
      <c r="A919" s="34"/>
      <c r="B919" s="76"/>
      <c r="C919" s="76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37"/>
      <c r="O919" s="38"/>
      <c r="P919" s="34"/>
      <c r="Q919" s="34"/>
      <c r="R919" s="76"/>
      <c r="S919" s="47"/>
      <c r="T919" s="42"/>
      <c r="U919" s="42"/>
      <c r="W919" s="73"/>
      <c r="X919"/>
      <c r="Y919" s="69"/>
      <c r="Z919"/>
      <c r="AA919" s="33"/>
    </row>
    <row r="920" spans="1:27" s="31" customFormat="1">
      <c r="A920" s="34"/>
      <c r="B920" s="76"/>
      <c r="C920" s="76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37"/>
      <c r="O920" s="38"/>
      <c r="P920" s="34"/>
      <c r="Q920" s="34"/>
      <c r="R920" s="76"/>
      <c r="S920" s="47"/>
      <c r="T920" s="42"/>
      <c r="U920" s="42"/>
      <c r="W920" s="73"/>
      <c r="X920"/>
      <c r="Y920" s="69"/>
      <c r="Z920"/>
      <c r="AA920" s="33"/>
    </row>
    <row r="921" spans="1:27" s="31" customFormat="1">
      <c r="A921" s="34"/>
      <c r="B921" s="76"/>
      <c r="C921" s="76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50"/>
      <c r="O921" s="38"/>
      <c r="P921" s="34"/>
      <c r="Q921" s="34"/>
      <c r="R921" s="76"/>
      <c r="S921" s="47"/>
      <c r="T921" s="42"/>
      <c r="U921" s="42"/>
      <c r="W921" s="73"/>
      <c r="X921"/>
      <c r="Y921" s="69"/>
      <c r="Z921"/>
      <c r="AA921" s="33"/>
    </row>
    <row r="922" spans="1:27" s="31" customFormat="1">
      <c r="A922" s="34"/>
      <c r="B922" s="76"/>
      <c r="C922" s="76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37"/>
      <c r="O922" s="38"/>
      <c r="P922" s="34"/>
      <c r="Q922" s="34"/>
      <c r="R922" s="76"/>
      <c r="S922" s="47"/>
      <c r="T922" s="42"/>
      <c r="U922" s="42"/>
      <c r="W922" s="73"/>
      <c r="X922"/>
      <c r="Y922" s="69"/>
      <c r="Z922"/>
      <c r="AA922" s="33"/>
    </row>
    <row r="923" spans="1:27" s="31" customFormat="1">
      <c r="A923" s="34"/>
      <c r="B923" s="76"/>
      <c r="C923" s="76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37"/>
      <c r="O923" s="38"/>
      <c r="P923" s="34"/>
      <c r="Q923" s="34"/>
      <c r="R923" s="76"/>
      <c r="S923" s="47"/>
      <c r="T923" s="42"/>
      <c r="U923" s="42"/>
      <c r="W923" s="73"/>
      <c r="X923"/>
      <c r="Y923" s="69"/>
      <c r="Z923"/>
      <c r="AA923" s="33"/>
    </row>
    <row r="924" spans="1:27" s="31" customFormat="1">
      <c r="A924" s="34"/>
      <c r="B924" s="76"/>
      <c r="C924" s="76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37"/>
      <c r="O924" s="38"/>
      <c r="P924" s="34"/>
      <c r="Q924" s="34"/>
      <c r="R924" s="76"/>
      <c r="S924" s="47"/>
      <c r="T924" s="42"/>
      <c r="U924" s="42"/>
      <c r="W924" s="73"/>
      <c r="X924"/>
      <c r="Y924" s="69"/>
      <c r="Z924"/>
      <c r="AA924" s="33"/>
    </row>
    <row r="925" spans="1:27" s="31" customFormat="1">
      <c r="A925" s="34"/>
      <c r="B925" s="76"/>
      <c r="C925" s="76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37"/>
      <c r="O925" s="38"/>
      <c r="P925" s="34"/>
      <c r="Q925" s="34"/>
      <c r="R925" s="76"/>
      <c r="S925" s="47"/>
      <c r="T925" s="42"/>
      <c r="U925" s="42"/>
      <c r="W925" s="73"/>
      <c r="X925"/>
      <c r="Y925" s="69"/>
      <c r="Z925"/>
      <c r="AA925" s="33"/>
    </row>
    <row r="926" spans="1:27" s="31" customFormat="1">
      <c r="A926" s="34"/>
      <c r="B926" s="76"/>
      <c r="C926" s="76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37"/>
      <c r="O926" s="38"/>
      <c r="P926" s="34"/>
      <c r="Q926" s="34"/>
      <c r="R926" s="76"/>
      <c r="S926" s="47"/>
      <c r="T926" s="42"/>
      <c r="U926" s="42"/>
      <c r="W926" s="73"/>
      <c r="X926"/>
      <c r="Y926" s="69"/>
      <c r="Z926"/>
      <c r="AA926" s="33"/>
    </row>
    <row r="927" spans="1:27" s="31" customFormat="1">
      <c r="A927" s="34"/>
      <c r="B927" s="76"/>
      <c r="C927" s="76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37"/>
      <c r="O927" s="38"/>
      <c r="P927" s="34"/>
      <c r="Q927" s="34"/>
      <c r="R927" s="76"/>
      <c r="S927" s="47"/>
      <c r="T927" s="42"/>
      <c r="U927" s="42"/>
      <c r="W927" s="73"/>
      <c r="X927"/>
      <c r="Y927" s="69"/>
      <c r="Z927"/>
      <c r="AA927" s="33"/>
    </row>
    <row r="928" spans="1:27" s="31" customFormat="1">
      <c r="A928" s="34"/>
      <c r="B928" s="76"/>
      <c r="C928" s="76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37"/>
      <c r="O928" s="38"/>
      <c r="P928" s="34"/>
      <c r="Q928" s="34"/>
      <c r="R928" s="76"/>
      <c r="S928" s="47"/>
      <c r="T928" s="42"/>
      <c r="U928" s="42"/>
      <c r="W928" s="73"/>
      <c r="X928"/>
      <c r="Y928" s="69"/>
      <c r="Z928"/>
      <c r="AA928" s="33"/>
    </row>
    <row r="929" spans="1:27" s="31" customFormat="1">
      <c r="A929" s="34"/>
      <c r="B929" s="76"/>
      <c r="C929" s="76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37"/>
      <c r="O929" s="38"/>
      <c r="P929" s="34"/>
      <c r="Q929" s="34"/>
      <c r="R929" s="76"/>
      <c r="S929" s="47"/>
      <c r="T929" s="42"/>
      <c r="U929" s="42"/>
      <c r="W929" s="73"/>
      <c r="X929"/>
      <c r="Y929" s="69"/>
      <c r="Z929"/>
      <c r="AA929" s="33"/>
    </row>
    <row r="930" spans="1:27" s="31" customFormat="1">
      <c r="A930" s="34"/>
      <c r="B930" s="76"/>
      <c r="C930" s="76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37"/>
      <c r="O930" s="38"/>
      <c r="P930" s="34"/>
      <c r="Q930" s="34"/>
      <c r="R930" s="76"/>
      <c r="S930" s="47"/>
      <c r="T930" s="42"/>
      <c r="U930" s="42"/>
      <c r="W930" s="73"/>
      <c r="X930"/>
      <c r="Y930" s="69"/>
      <c r="Z930"/>
      <c r="AA930" s="33"/>
    </row>
    <row r="931" spans="1:27" s="31" customFormat="1">
      <c r="A931" s="34"/>
      <c r="B931" s="76"/>
      <c r="C931" s="76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37"/>
      <c r="O931" s="38"/>
      <c r="P931" s="34"/>
      <c r="Q931" s="34"/>
      <c r="R931" s="76"/>
      <c r="S931" s="47"/>
      <c r="T931" s="42"/>
      <c r="U931" s="42"/>
      <c r="W931" s="73"/>
      <c r="X931"/>
      <c r="Y931" s="69"/>
      <c r="Z931"/>
      <c r="AA931" s="33"/>
    </row>
    <row r="932" spans="1:27" s="31" customFormat="1">
      <c r="A932" s="34"/>
      <c r="B932" s="76"/>
      <c r="C932" s="76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37"/>
      <c r="O932" s="38"/>
      <c r="P932" s="34"/>
      <c r="Q932" s="34"/>
      <c r="R932" s="76"/>
      <c r="S932" s="47"/>
      <c r="T932" s="42"/>
      <c r="U932" s="42"/>
      <c r="W932" s="73"/>
      <c r="X932"/>
      <c r="Y932" s="69"/>
      <c r="Z932"/>
      <c r="AA932" s="33"/>
    </row>
    <row r="933" spans="1:27" s="31" customFormat="1">
      <c r="A933" s="34"/>
      <c r="B933" s="76"/>
      <c r="C933" s="76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37"/>
      <c r="O933" s="38"/>
      <c r="P933" s="34"/>
      <c r="Q933" s="34"/>
      <c r="R933" s="76"/>
      <c r="S933" s="47"/>
      <c r="T933" s="42"/>
      <c r="U933" s="42"/>
      <c r="W933" s="73"/>
      <c r="X933"/>
      <c r="Y933" s="69"/>
      <c r="Z933"/>
      <c r="AA933" s="33"/>
    </row>
    <row r="934" spans="1:27" s="31" customFormat="1">
      <c r="A934" s="34"/>
      <c r="B934" s="76"/>
      <c r="C934" s="76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37"/>
      <c r="O934" s="38"/>
      <c r="P934" s="34"/>
      <c r="Q934" s="34"/>
      <c r="R934" s="76"/>
      <c r="S934" s="47"/>
      <c r="T934" s="42"/>
      <c r="U934" s="42"/>
      <c r="W934" s="73"/>
      <c r="X934"/>
      <c r="Y934" s="69"/>
      <c r="Z934"/>
      <c r="AA934" s="33"/>
    </row>
    <row r="935" spans="1:27" s="31" customFormat="1">
      <c r="A935" s="34"/>
      <c r="B935" s="76"/>
      <c r="C935" s="76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37"/>
      <c r="O935" s="38"/>
      <c r="P935" s="34"/>
      <c r="Q935" s="34"/>
      <c r="R935" s="76"/>
      <c r="S935" s="47"/>
      <c r="T935" s="42"/>
      <c r="U935" s="42"/>
      <c r="W935" s="73"/>
      <c r="X935"/>
      <c r="Y935" s="69"/>
      <c r="Z935"/>
      <c r="AA935" s="33"/>
    </row>
    <row r="936" spans="1:27" s="31" customFormat="1">
      <c r="A936" s="34"/>
      <c r="B936" s="76"/>
      <c r="C936" s="76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37"/>
      <c r="O936" s="38"/>
      <c r="P936" s="34"/>
      <c r="Q936" s="34"/>
      <c r="R936" s="76"/>
      <c r="S936" s="47"/>
      <c r="T936" s="42"/>
      <c r="U936" s="42"/>
      <c r="W936" s="73"/>
      <c r="X936"/>
      <c r="Y936" s="69"/>
      <c r="Z936"/>
      <c r="AA936" s="33"/>
    </row>
    <row r="937" spans="1:27" s="31" customFormat="1">
      <c r="A937" s="34"/>
      <c r="B937" s="76"/>
      <c r="C937" s="76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37"/>
      <c r="O937" s="38"/>
      <c r="P937" s="34"/>
      <c r="Q937" s="34"/>
      <c r="R937" s="76"/>
      <c r="S937" s="47"/>
      <c r="T937" s="42"/>
      <c r="U937" s="42"/>
      <c r="W937" s="73"/>
      <c r="X937"/>
      <c r="Y937" s="69"/>
      <c r="Z937"/>
      <c r="AA937" s="33"/>
    </row>
    <row r="938" spans="1:27" s="31" customFormat="1">
      <c r="A938" s="34"/>
      <c r="B938" s="76"/>
      <c r="C938" s="76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37"/>
      <c r="O938" s="38"/>
      <c r="P938" s="34"/>
      <c r="Q938" s="34"/>
      <c r="R938" s="76"/>
      <c r="S938" s="47"/>
      <c r="T938" s="42"/>
      <c r="U938" s="42"/>
      <c r="W938" s="73"/>
      <c r="X938"/>
      <c r="Y938" s="69"/>
      <c r="Z938"/>
      <c r="AA938" s="33"/>
    </row>
    <row r="939" spans="1:27" s="31" customFormat="1">
      <c r="A939" s="34"/>
      <c r="B939" s="76"/>
      <c r="C939" s="76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37"/>
      <c r="O939" s="38"/>
      <c r="P939" s="34"/>
      <c r="Q939" s="34"/>
      <c r="R939" s="76"/>
      <c r="S939" s="47"/>
      <c r="T939" s="42"/>
      <c r="U939" s="42"/>
      <c r="W939" s="73"/>
      <c r="X939"/>
      <c r="Y939" s="69"/>
      <c r="Z939"/>
      <c r="AA939" s="33"/>
    </row>
    <row r="940" spans="1:27" s="31" customFormat="1">
      <c r="A940" s="34"/>
      <c r="B940" s="76"/>
      <c r="C940" s="76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37"/>
      <c r="O940" s="38"/>
      <c r="P940" s="34"/>
      <c r="Q940" s="34"/>
      <c r="R940" s="76"/>
      <c r="S940" s="47"/>
      <c r="T940" s="42"/>
      <c r="U940" s="42"/>
      <c r="W940" s="73"/>
      <c r="X940"/>
      <c r="Y940" s="69"/>
      <c r="Z940"/>
      <c r="AA940" s="33"/>
    </row>
    <row r="941" spans="1:27" s="31" customFormat="1">
      <c r="A941" s="34"/>
      <c r="B941" s="76"/>
      <c r="C941" s="76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37"/>
      <c r="O941" s="38"/>
      <c r="P941" s="34"/>
      <c r="Q941" s="34"/>
      <c r="R941" s="76"/>
      <c r="S941" s="47"/>
      <c r="T941" s="42"/>
      <c r="U941" s="42"/>
      <c r="W941" s="73"/>
      <c r="X941"/>
      <c r="Y941" s="69"/>
      <c r="Z941"/>
      <c r="AA941" s="33"/>
    </row>
    <row r="942" spans="1:27" s="31" customFormat="1">
      <c r="A942" s="34"/>
      <c r="B942" s="76"/>
      <c r="C942" s="76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37"/>
      <c r="O942" s="38"/>
      <c r="P942" s="34"/>
      <c r="Q942" s="34"/>
      <c r="R942" s="76"/>
      <c r="S942" s="47"/>
      <c r="T942" s="42"/>
      <c r="U942" s="42"/>
      <c r="W942" s="73"/>
      <c r="X942"/>
      <c r="Y942" s="69"/>
      <c r="Z942"/>
      <c r="AA942" s="33"/>
    </row>
    <row r="943" spans="1:27" s="31" customFormat="1">
      <c r="A943" s="34"/>
      <c r="B943" s="76"/>
      <c r="C943" s="76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37"/>
      <c r="O943" s="38"/>
      <c r="P943" s="34"/>
      <c r="Q943" s="34"/>
      <c r="R943" s="76"/>
      <c r="S943" s="47"/>
      <c r="T943" s="42"/>
      <c r="U943" s="42"/>
      <c r="W943" s="73"/>
      <c r="X943"/>
      <c r="Y943" s="69"/>
      <c r="Z943"/>
      <c r="AA943" s="33"/>
    </row>
    <row r="944" spans="1:27" s="31" customFormat="1">
      <c r="A944" s="34"/>
      <c r="B944" s="76"/>
      <c r="C944" s="76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37"/>
      <c r="O944" s="38"/>
      <c r="P944" s="34"/>
      <c r="Q944" s="39"/>
      <c r="R944" s="84"/>
      <c r="S944" s="47"/>
      <c r="T944" s="42"/>
      <c r="U944" s="42"/>
      <c r="W944" s="73"/>
      <c r="X944"/>
      <c r="Y944" s="69"/>
      <c r="Z944"/>
      <c r="AA944" s="33"/>
    </row>
    <row r="945" spans="1:27" s="31" customFormat="1">
      <c r="A945" s="34"/>
      <c r="B945" s="76"/>
      <c r="C945" s="76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37"/>
      <c r="O945" s="38"/>
      <c r="P945" s="34"/>
      <c r="Q945" s="39"/>
      <c r="R945" s="84"/>
      <c r="S945" s="47"/>
      <c r="T945" s="42"/>
      <c r="U945" s="42"/>
      <c r="W945" s="73"/>
      <c r="X945"/>
      <c r="Y945" s="69"/>
      <c r="Z945"/>
      <c r="AA945" s="33"/>
    </row>
    <row r="946" spans="1:27" s="31" customFormat="1">
      <c r="A946" s="34"/>
      <c r="B946" s="76"/>
      <c r="C946" s="76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37"/>
      <c r="O946" s="38"/>
      <c r="P946" s="34"/>
      <c r="Q946" s="39"/>
      <c r="R946" s="84"/>
      <c r="S946" s="47"/>
      <c r="T946" s="42"/>
      <c r="U946" s="42"/>
      <c r="W946" s="73"/>
      <c r="X946"/>
      <c r="Y946" s="69"/>
      <c r="Z946"/>
      <c r="AA946" s="33"/>
    </row>
    <row r="947" spans="1:27" s="31" customFormat="1">
      <c r="A947" s="34"/>
      <c r="B947" s="76"/>
      <c r="C947" s="76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37"/>
      <c r="O947" s="38"/>
      <c r="P947" s="34"/>
      <c r="Q947" s="39"/>
      <c r="R947" s="84"/>
      <c r="S947" s="47"/>
      <c r="T947" s="42"/>
      <c r="U947" s="42"/>
      <c r="W947" s="73"/>
      <c r="X947"/>
      <c r="Y947" s="69"/>
      <c r="Z947"/>
      <c r="AA947" s="33"/>
    </row>
    <row r="948" spans="1:27" s="31" customFormat="1">
      <c r="A948" s="34"/>
      <c r="B948" s="76"/>
      <c r="C948" s="76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37"/>
      <c r="O948" s="38"/>
      <c r="P948" s="34"/>
      <c r="Q948" s="39"/>
      <c r="R948" s="84"/>
      <c r="S948" s="47"/>
      <c r="T948" s="42"/>
      <c r="U948" s="42"/>
      <c r="W948" s="73"/>
      <c r="X948"/>
      <c r="Y948" s="69"/>
      <c r="Z948"/>
      <c r="AA948" s="33"/>
    </row>
    <row r="949" spans="1:27" s="31" customFormat="1">
      <c r="A949" s="34"/>
      <c r="B949" s="76"/>
      <c r="C949" s="76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37"/>
      <c r="O949" s="38"/>
      <c r="P949" s="34"/>
      <c r="Q949" s="39"/>
      <c r="R949" s="84"/>
      <c r="S949" s="47"/>
      <c r="T949" s="42"/>
      <c r="U949" s="42"/>
      <c r="W949" s="73"/>
      <c r="X949"/>
      <c r="Y949" s="69"/>
      <c r="Z949"/>
      <c r="AA949" s="33"/>
    </row>
    <row r="950" spans="1:27" s="31" customFormat="1">
      <c r="A950" s="34"/>
      <c r="B950" s="76"/>
      <c r="C950" s="76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37"/>
      <c r="O950" s="38"/>
      <c r="P950" s="34"/>
      <c r="Q950" s="39"/>
      <c r="R950" s="84"/>
      <c r="S950" s="47"/>
      <c r="T950" s="42"/>
      <c r="U950" s="42"/>
      <c r="W950" s="73"/>
      <c r="X950"/>
      <c r="Y950" s="69"/>
      <c r="Z950"/>
      <c r="AA950" s="33"/>
    </row>
    <row r="951" spans="1:27" s="31" customFormat="1">
      <c r="A951" s="34"/>
      <c r="B951" s="76"/>
      <c r="C951" s="76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37"/>
      <c r="O951" s="38"/>
      <c r="P951" s="34"/>
      <c r="Q951" s="39"/>
      <c r="R951" s="84"/>
      <c r="S951" s="47"/>
      <c r="T951" s="42"/>
      <c r="U951" s="42"/>
      <c r="W951" s="73"/>
      <c r="X951"/>
      <c r="Y951" s="69"/>
      <c r="Z951"/>
      <c r="AA951" s="33"/>
    </row>
    <row r="952" spans="1:27" s="31" customFormat="1">
      <c r="A952" s="34"/>
      <c r="B952" s="76"/>
      <c r="C952" s="76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37"/>
      <c r="O952" s="38"/>
      <c r="P952" s="34"/>
      <c r="Q952" s="39"/>
      <c r="R952" s="84"/>
      <c r="S952" s="47"/>
      <c r="T952" s="42"/>
      <c r="U952" s="42"/>
      <c r="W952" s="73"/>
      <c r="X952"/>
      <c r="Y952" s="69"/>
      <c r="Z952"/>
      <c r="AA952" s="33"/>
    </row>
    <row r="953" spans="1:27" s="31" customFormat="1">
      <c r="A953" s="34"/>
      <c r="B953" s="76"/>
      <c r="C953" s="76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37"/>
      <c r="O953" s="38"/>
      <c r="P953" s="34"/>
      <c r="Q953" s="39"/>
      <c r="R953" s="84"/>
      <c r="S953" s="47"/>
      <c r="T953" s="42"/>
      <c r="U953" s="42"/>
      <c r="W953" s="73"/>
      <c r="X953"/>
      <c r="Y953" s="69"/>
      <c r="Z953"/>
      <c r="AA953" s="33"/>
    </row>
    <row r="954" spans="1:27" s="31" customFormat="1">
      <c r="A954" s="34"/>
      <c r="B954" s="76"/>
      <c r="C954" s="76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37"/>
      <c r="O954" s="38"/>
      <c r="P954" s="34"/>
      <c r="Q954" s="39"/>
      <c r="R954" s="84"/>
      <c r="S954" s="47"/>
      <c r="T954" s="42"/>
      <c r="U954" s="42"/>
      <c r="W954" s="73"/>
      <c r="X954"/>
      <c r="Y954" s="69"/>
      <c r="Z954"/>
      <c r="AA954" s="33"/>
    </row>
    <row r="955" spans="1:27" s="31" customFormat="1">
      <c r="A955" s="34"/>
      <c r="B955" s="76"/>
      <c r="C955" s="76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37"/>
      <c r="O955" s="38"/>
      <c r="P955" s="34"/>
      <c r="Q955" s="39"/>
      <c r="R955" s="84"/>
      <c r="S955" s="47"/>
      <c r="T955" s="42"/>
      <c r="U955" s="42"/>
      <c r="W955" s="73"/>
      <c r="X955"/>
      <c r="Y955" s="69"/>
      <c r="Z955"/>
      <c r="AA955" s="33"/>
    </row>
    <row r="956" spans="1:27" s="31" customFormat="1">
      <c r="A956" s="34"/>
      <c r="B956" s="76"/>
      <c r="C956" s="76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37"/>
      <c r="O956" s="38"/>
      <c r="P956" s="34"/>
      <c r="Q956" s="39"/>
      <c r="R956" s="84"/>
      <c r="S956" s="47"/>
      <c r="T956" s="42"/>
      <c r="U956" s="42"/>
      <c r="W956" s="73"/>
      <c r="X956"/>
      <c r="Y956" s="69"/>
      <c r="Z956"/>
      <c r="AA956" s="33"/>
    </row>
    <row r="957" spans="1:27" s="31" customFormat="1">
      <c r="A957" s="34"/>
      <c r="B957" s="76"/>
      <c r="C957" s="76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37"/>
      <c r="O957" s="38"/>
      <c r="P957" s="34"/>
      <c r="Q957" s="39"/>
      <c r="R957" s="84"/>
      <c r="S957" s="47"/>
      <c r="T957" s="42"/>
      <c r="U957" s="42"/>
      <c r="W957" s="73"/>
      <c r="X957"/>
      <c r="Y957" s="69"/>
      <c r="Z957"/>
      <c r="AA957" s="33"/>
    </row>
    <row r="958" spans="1:27" s="31" customFormat="1">
      <c r="A958" s="34"/>
      <c r="B958" s="76"/>
      <c r="C958" s="76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37"/>
      <c r="O958" s="38"/>
      <c r="P958" s="34"/>
      <c r="Q958" s="39"/>
      <c r="R958" s="84"/>
      <c r="S958" s="47"/>
      <c r="T958" s="42"/>
      <c r="U958" s="42"/>
      <c r="W958" s="73"/>
      <c r="X958"/>
      <c r="Y958" s="69"/>
      <c r="Z958"/>
      <c r="AA958" s="33"/>
    </row>
    <row r="959" spans="1:27" s="31" customFormat="1">
      <c r="A959" s="34"/>
      <c r="B959" s="76"/>
      <c r="C959" s="76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37"/>
      <c r="O959" s="38"/>
      <c r="P959" s="34"/>
      <c r="Q959" s="39"/>
      <c r="R959" s="84"/>
      <c r="S959" s="47"/>
      <c r="T959" s="42"/>
      <c r="U959" s="42"/>
      <c r="W959" s="73"/>
      <c r="X959"/>
      <c r="Y959" s="69"/>
      <c r="Z959"/>
      <c r="AA959" s="33"/>
    </row>
    <row r="960" spans="1:27" s="31" customFormat="1">
      <c r="A960" s="34"/>
      <c r="B960" s="76"/>
      <c r="C960" s="76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37"/>
      <c r="O960" s="38"/>
      <c r="P960" s="34"/>
      <c r="Q960" s="39"/>
      <c r="R960" s="84"/>
      <c r="S960" s="47"/>
      <c r="T960" s="42"/>
      <c r="U960" s="42"/>
      <c r="W960" s="73"/>
      <c r="X960"/>
      <c r="Y960" s="69"/>
      <c r="Z960"/>
      <c r="AA960" s="33"/>
    </row>
    <row r="961" spans="1:27" s="31" customFormat="1">
      <c r="A961" s="34"/>
      <c r="B961" s="76"/>
      <c r="C961" s="76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37"/>
      <c r="O961" s="38"/>
      <c r="P961" s="34"/>
      <c r="Q961" s="39"/>
      <c r="R961" s="84"/>
      <c r="S961" s="47"/>
      <c r="T961" s="42"/>
      <c r="U961" s="42"/>
      <c r="W961" s="73"/>
      <c r="X961"/>
      <c r="Y961" s="69"/>
      <c r="Z961"/>
      <c r="AA961" s="33"/>
    </row>
    <row r="962" spans="1:27" s="31" customFormat="1">
      <c r="A962" s="34"/>
      <c r="B962" s="76"/>
      <c r="C962" s="76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37"/>
      <c r="O962" s="38"/>
      <c r="P962" s="34"/>
      <c r="Q962" s="39"/>
      <c r="R962" s="84"/>
      <c r="S962" s="47"/>
      <c r="T962" s="42"/>
      <c r="U962" s="42"/>
      <c r="W962" s="73"/>
      <c r="X962"/>
      <c r="Y962" s="69"/>
      <c r="Z962"/>
      <c r="AA962" s="33"/>
    </row>
    <row r="963" spans="1:27" s="31" customFormat="1">
      <c r="A963" s="34"/>
      <c r="B963" s="76"/>
      <c r="C963" s="76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37"/>
      <c r="O963" s="38"/>
      <c r="P963" s="34"/>
      <c r="Q963" s="39"/>
      <c r="R963" s="84"/>
      <c r="S963" s="47"/>
      <c r="T963" s="42"/>
      <c r="U963" s="42"/>
      <c r="W963" s="73"/>
      <c r="X963"/>
      <c r="Y963" s="69"/>
      <c r="Z963"/>
      <c r="AA963" s="33"/>
    </row>
    <row r="964" spans="1:27" s="31" customFormat="1">
      <c r="A964" s="34"/>
      <c r="B964" s="76"/>
      <c r="C964" s="76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37"/>
      <c r="O964" s="38"/>
      <c r="P964" s="34"/>
      <c r="Q964" s="39"/>
      <c r="R964" s="84"/>
      <c r="S964" s="47"/>
      <c r="T964" s="42"/>
      <c r="U964" s="42"/>
      <c r="W964" s="73"/>
      <c r="X964"/>
      <c r="Y964" s="69"/>
      <c r="Z964"/>
      <c r="AA964" s="33"/>
    </row>
    <row r="965" spans="1:27" s="31" customFormat="1">
      <c r="A965" s="34"/>
      <c r="B965" s="76"/>
      <c r="C965" s="76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37"/>
      <c r="O965" s="38"/>
      <c r="P965" s="34"/>
      <c r="Q965" s="39"/>
      <c r="R965" s="84"/>
      <c r="S965" s="47"/>
      <c r="T965" s="42"/>
      <c r="U965" s="42"/>
      <c r="W965" s="73"/>
      <c r="X965"/>
      <c r="Y965" s="69"/>
      <c r="Z965"/>
      <c r="AA965" s="33"/>
    </row>
    <row r="966" spans="1:27" s="31" customFormat="1">
      <c r="A966" s="34"/>
      <c r="B966" s="76"/>
      <c r="C966" s="76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37"/>
      <c r="O966" s="38"/>
      <c r="P966" s="34"/>
      <c r="Q966" s="39"/>
      <c r="R966" s="84"/>
      <c r="S966" s="47"/>
      <c r="T966" s="42"/>
      <c r="U966" s="42"/>
      <c r="W966" s="73"/>
      <c r="X966"/>
      <c r="Y966" s="69"/>
      <c r="Z966"/>
      <c r="AA966" s="33"/>
    </row>
    <row r="967" spans="1:27" s="31" customFormat="1">
      <c r="A967" s="34"/>
      <c r="B967" s="76"/>
      <c r="C967" s="76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37"/>
      <c r="O967" s="38"/>
      <c r="P967" s="34"/>
      <c r="Q967" s="39"/>
      <c r="R967" s="84"/>
      <c r="S967" s="47"/>
      <c r="T967" s="42"/>
      <c r="U967" s="42"/>
      <c r="W967" s="73"/>
      <c r="X967"/>
      <c r="Y967" s="69"/>
      <c r="Z967"/>
      <c r="AA967" s="33"/>
    </row>
    <row r="968" spans="1:27" s="31" customFormat="1">
      <c r="A968" s="34"/>
      <c r="B968" s="76"/>
      <c r="C968" s="76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37"/>
      <c r="O968" s="38"/>
      <c r="P968" s="34"/>
      <c r="Q968" s="39"/>
      <c r="R968" s="84"/>
      <c r="S968" s="47"/>
      <c r="T968" s="42"/>
      <c r="U968" s="42"/>
      <c r="W968" s="73"/>
      <c r="X968"/>
      <c r="Y968" s="69"/>
      <c r="Z968"/>
      <c r="AA968" s="33"/>
    </row>
    <row r="969" spans="1:27" s="31" customFormat="1">
      <c r="A969" s="34"/>
      <c r="B969" s="76"/>
      <c r="C969" s="76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37"/>
      <c r="O969" s="38"/>
      <c r="P969" s="34"/>
      <c r="Q969" s="39"/>
      <c r="R969" s="84"/>
      <c r="S969" s="47"/>
      <c r="T969" s="42"/>
      <c r="U969" s="42"/>
      <c r="W969" s="73"/>
      <c r="X969"/>
      <c r="Y969" s="69"/>
      <c r="Z969"/>
      <c r="AA969" s="33"/>
    </row>
    <row r="970" spans="1:27" s="31" customFormat="1">
      <c r="A970" s="34"/>
      <c r="B970" s="76"/>
      <c r="C970" s="76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37"/>
      <c r="O970" s="38"/>
      <c r="P970" s="34"/>
      <c r="Q970" s="39"/>
      <c r="R970" s="84"/>
      <c r="S970" s="47"/>
      <c r="T970" s="42"/>
      <c r="U970" s="42"/>
      <c r="W970" s="73"/>
      <c r="X970"/>
      <c r="Y970" s="69"/>
      <c r="Z970"/>
      <c r="AA970" s="33"/>
    </row>
    <row r="971" spans="1:27" s="31" customFormat="1">
      <c r="A971" s="34"/>
      <c r="B971" s="76"/>
      <c r="C971" s="76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37"/>
      <c r="O971" s="38"/>
      <c r="P971" s="34"/>
      <c r="Q971" s="34"/>
      <c r="R971" s="76"/>
      <c r="S971" s="47"/>
      <c r="T971" s="42"/>
      <c r="U971" s="42"/>
      <c r="W971" s="73"/>
      <c r="X971"/>
      <c r="Y971" s="69"/>
      <c r="Z971"/>
      <c r="AA971" s="33"/>
    </row>
    <row r="972" spans="1:27" s="31" customFormat="1">
      <c r="A972" s="34"/>
      <c r="B972" s="76"/>
      <c r="C972" s="76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37"/>
      <c r="O972" s="38"/>
      <c r="P972" s="34"/>
      <c r="Q972" s="34"/>
      <c r="R972" s="76"/>
      <c r="S972" s="47"/>
      <c r="T972" s="42"/>
      <c r="U972" s="42"/>
      <c r="W972" s="73"/>
      <c r="X972"/>
      <c r="Y972" s="69"/>
      <c r="Z972"/>
      <c r="AA972" s="33"/>
    </row>
    <row r="973" spans="1:27" s="31" customFormat="1">
      <c r="A973" s="34"/>
      <c r="B973" s="76"/>
      <c r="C973" s="76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37"/>
      <c r="O973" s="38"/>
      <c r="P973" s="34"/>
      <c r="Q973" s="34"/>
      <c r="R973" s="76"/>
      <c r="S973" s="47"/>
      <c r="T973" s="42"/>
      <c r="U973" s="42"/>
      <c r="W973" s="73"/>
      <c r="X973"/>
      <c r="Y973" s="69"/>
      <c r="Z973"/>
      <c r="AA973" s="33"/>
    </row>
    <row r="974" spans="1:27" s="31" customFormat="1">
      <c r="A974" s="34"/>
      <c r="B974" s="76"/>
      <c r="C974" s="76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37"/>
      <c r="O974" s="38"/>
      <c r="P974" s="34"/>
      <c r="Q974" s="34"/>
      <c r="R974" s="76"/>
      <c r="S974" s="47"/>
      <c r="T974" s="42"/>
      <c r="U974" s="42"/>
      <c r="W974" s="73"/>
      <c r="X974"/>
      <c r="Y974" s="69"/>
      <c r="Z974"/>
      <c r="AA974" s="33"/>
    </row>
    <row r="975" spans="1:27" s="31" customFormat="1">
      <c r="A975" s="34"/>
      <c r="B975" s="76"/>
      <c r="C975" s="76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37"/>
      <c r="O975" s="38"/>
      <c r="P975" s="34"/>
      <c r="Q975" s="34"/>
      <c r="R975" s="76"/>
      <c r="S975" s="47"/>
      <c r="T975" s="42"/>
      <c r="U975" s="42"/>
      <c r="W975" s="73"/>
      <c r="X975"/>
      <c r="Y975" s="69"/>
      <c r="Z975"/>
      <c r="AA975" s="33"/>
    </row>
    <row r="976" spans="1:27" s="31" customFormat="1">
      <c r="A976" s="34"/>
      <c r="B976" s="76"/>
      <c r="C976" s="76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37"/>
      <c r="O976" s="38"/>
      <c r="P976" s="34"/>
      <c r="Q976" s="34"/>
      <c r="R976" s="76"/>
      <c r="S976" s="47"/>
      <c r="T976" s="42"/>
      <c r="U976" s="42"/>
      <c r="W976" s="73"/>
      <c r="X976"/>
      <c r="Y976" s="69"/>
      <c r="Z976"/>
      <c r="AA976" s="33"/>
    </row>
    <row r="977" spans="1:27" s="31" customFormat="1">
      <c r="A977" s="34"/>
      <c r="B977" s="76"/>
      <c r="C977" s="76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37"/>
      <c r="O977" s="38"/>
      <c r="P977" s="34"/>
      <c r="Q977" s="34"/>
      <c r="R977" s="76"/>
      <c r="S977" s="47"/>
      <c r="T977" s="42"/>
      <c r="U977" s="42"/>
      <c r="W977" s="73"/>
      <c r="X977"/>
      <c r="Y977" s="69"/>
      <c r="Z977"/>
      <c r="AA977" s="33"/>
    </row>
    <row r="978" spans="1:27" s="31" customFormat="1">
      <c r="A978" s="34"/>
      <c r="B978" s="76"/>
      <c r="C978" s="76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37"/>
      <c r="O978" s="38"/>
      <c r="P978" s="34"/>
      <c r="Q978" s="34"/>
      <c r="R978" s="76"/>
      <c r="S978" s="47"/>
      <c r="T978" s="42"/>
      <c r="U978" s="42"/>
      <c r="W978" s="73"/>
      <c r="X978"/>
      <c r="Y978" s="69"/>
      <c r="Z978"/>
      <c r="AA978" s="33"/>
    </row>
    <row r="979" spans="1:27" s="31" customFormat="1">
      <c r="A979" s="34"/>
      <c r="B979" s="76"/>
      <c r="C979" s="76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37"/>
      <c r="O979" s="38"/>
      <c r="P979" s="34"/>
      <c r="Q979" s="34"/>
      <c r="R979" s="76"/>
      <c r="S979" s="47"/>
      <c r="T979" s="42"/>
      <c r="U979" s="42"/>
      <c r="W979" s="73"/>
      <c r="X979"/>
      <c r="Y979" s="69"/>
      <c r="Z979"/>
      <c r="AA979" s="33"/>
    </row>
    <row r="980" spans="1:27" s="31" customFormat="1">
      <c r="A980" s="34"/>
      <c r="B980" s="76"/>
      <c r="C980" s="76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37"/>
      <c r="O980" s="38"/>
      <c r="P980" s="34"/>
      <c r="Q980" s="34"/>
      <c r="R980" s="76"/>
      <c r="S980" s="47"/>
      <c r="T980" s="42"/>
      <c r="U980" s="42"/>
      <c r="W980" s="73"/>
      <c r="X980"/>
      <c r="Y980" s="69"/>
      <c r="Z980"/>
      <c r="AA980" s="33"/>
    </row>
    <row r="981" spans="1:27" s="31" customFormat="1">
      <c r="A981" s="34"/>
      <c r="B981" s="76"/>
      <c r="C981" s="76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37"/>
      <c r="O981" s="38"/>
      <c r="P981" s="34"/>
      <c r="Q981" s="34"/>
      <c r="R981" s="76"/>
      <c r="S981" s="47"/>
      <c r="T981" s="42"/>
      <c r="U981" s="42"/>
      <c r="W981" s="73"/>
      <c r="X981"/>
      <c r="Y981" s="69"/>
      <c r="Z981"/>
      <c r="AA981" s="33"/>
    </row>
    <row r="982" spans="1:27" s="31" customFormat="1">
      <c r="A982" s="34"/>
      <c r="B982" s="76"/>
      <c r="C982" s="76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37"/>
      <c r="O982" s="38"/>
      <c r="P982" s="34"/>
      <c r="Q982" s="34"/>
      <c r="R982" s="76"/>
      <c r="S982" s="47"/>
      <c r="T982" s="42"/>
      <c r="U982" s="42"/>
      <c r="W982" s="73"/>
      <c r="X982"/>
      <c r="Y982" s="69"/>
      <c r="Z982"/>
      <c r="AA982" s="33"/>
    </row>
    <row r="983" spans="1:27" s="31" customFormat="1">
      <c r="A983" s="34"/>
      <c r="B983" s="76"/>
      <c r="C983" s="76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37"/>
      <c r="O983" s="38"/>
      <c r="P983" s="34"/>
      <c r="Q983" s="34"/>
      <c r="R983" s="76"/>
      <c r="S983" s="47"/>
      <c r="T983" s="42"/>
      <c r="U983" s="42"/>
      <c r="W983" s="73"/>
      <c r="X983"/>
      <c r="Y983" s="69"/>
      <c r="Z983"/>
      <c r="AA983" s="33"/>
    </row>
    <row r="984" spans="1:27" s="31" customFormat="1">
      <c r="A984" s="34"/>
      <c r="B984" s="76"/>
      <c r="C984" s="76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37"/>
      <c r="O984" s="38"/>
      <c r="P984" s="34"/>
      <c r="Q984" s="34"/>
      <c r="R984" s="76"/>
      <c r="S984" s="47"/>
      <c r="T984" s="42"/>
      <c r="U984" s="42"/>
      <c r="W984" s="73"/>
      <c r="X984"/>
      <c r="Y984" s="69"/>
      <c r="Z984"/>
      <c r="AA984" s="33"/>
    </row>
    <row r="985" spans="1:27" s="31" customFormat="1">
      <c r="A985" s="34"/>
      <c r="B985" s="76"/>
      <c r="C985" s="76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37"/>
      <c r="O985" s="38"/>
      <c r="P985" s="34"/>
      <c r="Q985" s="34"/>
      <c r="R985" s="76"/>
      <c r="S985" s="47"/>
      <c r="T985" s="42"/>
      <c r="U985" s="42"/>
      <c r="W985" s="73"/>
      <c r="X985"/>
      <c r="Y985" s="69"/>
      <c r="Z985"/>
      <c r="AA985" s="33"/>
    </row>
    <row r="986" spans="1:27" s="31" customFormat="1">
      <c r="A986" s="34"/>
      <c r="B986" s="76"/>
      <c r="C986" s="76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37"/>
      <c r="O986" s="38"/>
      <c r="P986" s="34"/>
      <c r="Q986" s="39"/>
      <c r="R986" s="84"/>
      <c r="S986" s="47"/>
      <c r="T986" s="42"/>
      <c r="U986" s="42"/>
      <c r="W986" s="73"/>
      <c r="X986"/>
      <c r="Y986" s="69"/>
      <c r="Z986"/>
      <c r="AA986" s="33"/>
    </row>
    <row r="987" spans="1:27" s="31" customFormat="1">
      <c r="A987" s="34"/>
      <c r="B987" s="76"/>
      <c r="C987" s="76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37"/>
      <c r="O987" s="38"/>
      <c r="P987" s="34"/>
      <c r="Q987" s="39"/>
      <c r="R987" s="84"/>
      <c r="S987" s="47"/>
      <c r="T987" s="42"/>
      <c r="U987" s="42"/>
      <c r="W987" s="73"/>
      <c r="X987"/>
      <c r="Y987" s="69"/>
      <c r="Z987"/>
      <c r="AA987" s="33"/>
    </row>
    <row r="988" spans="1:27" s="31" customFormat="1">
      <c r="A988" s="34"/>
      <c r="B988" s="76"/>
      <c r="C988" s="76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37"/>
      <c r="O988" s="38"/>
      <c r="P988" s="34"/>
      <c r="Q988" s="39"/>
      <c r="R988" s="84"/>
      <c r="S988" s="47"/>
      <c r="T988" s="42"/>
      <c r="U988" s="42"/>
      <c r="W988" s="73"/>
      <c r="X988"/>
      <c r="Y988" s="69"/>
      <c r="Z988"/>
      <c r="AA988" s="33"/>
    </row>
    <row r="989" spans="1:27" s="31" customFormat="1">
      <c r="A989" s="34"/>
      <c r="B989" s="76"/>
      <c r="C989" s="76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37"/>
      <c r="O989" s="38"/>
      <c r="P989" s="34"/>
      <c r="Q989" s="39"/>
      <c r="R989" s="84"/>
      <c r="S989" s="47"/>
      <c r="T989" s="42"/>
      <c r="U989" s="42"/>
      <c r="W989" s="73"/>
      <c r="X989"/>
      <c r="Y989" s="69"/>
      <c r="Z989"/>
      <c r="AA989" s="33"/>
    </row>
    <row r="990" spans="1:27" s="31" customFormat="1">
      <c r="A990" s="34"/>
      <c r="B990" s="76"/>
      <c r="C990" s="76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37"/>
      <c r="O990" s="38"/>
      <c r="P990" s="34"/>
      <c r="Q990" s="39"/>
      <c r="R990" s="84"/>
      <c r="S990" s="47"/>
      <c r="T990" s="42"/>
      <c r="U990" s="42"/>
      <c r="W990" s="73"/>
      <c r="X990"/>
      <c r="Y990" s="69"/>
      <c r="Z990"/>
      <c r="AA990" s="33"/>
    </row>
    <row r="991" spans="1:27" s="31" customFormat="1">
      <c r="A991" s="34"/>
      <c r="B991" s="76"/>
      <c r="C991" s="76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37"/>
      <c r="O991" s="38"/>
      <c r="P991" s="34"/>
      <c r="Q991" s="39"/>
      <c r="R991" s="84"/>
      <c r="S991" s="47"/>
      <c r="T991" s="42"/>
      <c r="U991" s="42"/>
      <c r="W991" s="73"/>
      <c r="X991"/>
      <c r="Y991" s="69"/>
      <c r="Z991"/>
      <c r="AA991" s="33"/>
    </row>
    <row r="992" spans="1:27" s="31" customFormat="1">
      <c r="A992" s="34"/>
      <c r="B992" s="76"/>
      <c r="C992" s="76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37"/>
      <c r="O992" s="38"/>
      <c r="P992" s="34"/>
      <c r="Q992" s="39"/>
      <c r="R992" s="84"/>
      <c r="S992" s="47"/>
      <c r="T992" s="42"/>
      <c r="U992" s="42"/>
      <c r="W992" s="73"/>
      <c r="X992"/>
      <c r="Y992" s="69"/>
      <c r="Z992"/>
      <c r="AA992" s="33"/>
    </row>
    <row r="993" spans="1:27" s="31" customFormat="1">
      <c r="A993" s="34"/>
      <c r="B993" s="76"/>
      <c r="C993" s="76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37"/>
      <c r="O993" s="38"/>
      <c r="P993" s="34"/>
      <c r="Q993" s="39"/>
      <c r="R993" s="84"/>
      <c r="S993" s="47"/>
      <c r="T993" s="42"/>
      <c r="U993" s="42"/>
      <c r="W993" s="73"/>
      <c r="X993"/>
      <c r="Y993" s="69"/>
      <c r="Z993"/>
      <c r="AA993" s="33"/>
    </row>
    <row r="994" spans="1:27" s="31" customFormat="1">
      <c r="A994" s="34"/>
      <c r="B994" s="76"/>
      <c r="C994" s="76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37"/>
      <c r="O994" s="38"/>
      <c r="P994" s="34"/>
      <c r="Q994" s="39"/>
      <c r="R994" s="84"/>
      <c r="S994" s="47"/>
      <c r="T994" s="42"/>
      <c r="U994" s="42"/>
      <c r="W994" s="73"/>
      <c r="X994"/>
      <c r="Y994" s="69"/>
      <c r="Z994"/>
      <c r="AA994" s="33"/>
    </row>
    <row r="995" spans="1:27" s="31" customFormat="1">
      <c r="A995" s="34"/>
      <c r="B995" s="76"/>
      <c r="C995" s="76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37"/>
      <c r="O995" s="38"/>
      <c r="P995" s="34"/>
      <c r="Q995" s="39"/>
      <c r="R995" s="84"/>
      <c r="S995" s="47"/>
      <c r="T995" s="42"/>
      <c r="U995" s="42"/>
      <c r="W995" s="73"/>
      <c r="X995"/>
      <c r="Y995" s="69"/>
      <c r="Z995"/>
      <c r="AA995" s="33"/>
    </row>
    <row r="996" spans="1:27" s="31" customFormat="1">
      <c r="A996" s="34"/>
      <c r="B996" s="76"/>
      <c r="C996" s="76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37"/>
      <c r="O996" s="38"/>
      <c r="P996" s="34"/>
      <c r="Q996" s="39"/>
      <c r="R996" s="84"/>
      <c r="S996" s="47"/>
      <c r="T996" s="42"/>
      <c r="U996" s="42"/>
      <c r="W996" s="73"/>
      <c r="X996"/>
      <c r="Y996" s="69"/>
      <c r="Z996"/>
      <c r="AA996" s="33"/>
    </row>
    <row r="997" spans="1:27" s="31" customFormat="1">
      <c r="A997" s="34"/>
      <c r="B997" s="76"/>
      <c r="C997" s="76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37"/>
      <c r="O997" s="38"/>
      <c r="P997" s="34"/>
      <c r="Q997" s="39"/>
      <c r="R997" s="84"/>
      <c r="S997" s="47"/>
      <c r="T997" s="42"/>
      <c r="U997" s="42"/>
      <c r="W997" s="73"/>
      <c r="X997"/>
      <c r="Y997" s="69"/>
      <c r="Z997"/>
      <c r="AA997" s="33"/>
    </row>
    <row r="998" spans="1:27" s="31" customFormat="1">
      <c r="A998" s="34"/>
      <c r="B998" s="76"/>
      <c r="C998" s="76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37"/>
      <c r="O998" s="38"/>
      <c r="P998" s="34"/>
      <c r="Q998" s="39"/>
      <c r="R998" s="84"/>
      <c r="S998" s="47"/>
      <c r="T998" s="42"/>
      <c r="U998" s="42"/>
      <c r="W998" s="73"/>
      <c r="X998"/>
      <c r="Y998" s="69"/>
      <c r="Z998"/>
      <c r="AA998" s="33"/>
    </row>
    <row r="999" spans="1:27" s="31" customFormat="1">
      <c r="A999" s="34"/>
      <c r="B999" s="76"/>
      <c r="C999" s="76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37"/>
      <c r="O999" s="38"/>
      <c r="P999" s="34"/>
      <c r="Q999" s="45"/>
      <c r="R999" s="84"/>
      <c r="S999" s="47"/>
      <c r="T999" s="42"/>
      <c r="U999" s="42"/>
      <c r="W999" s="73"/>
      <c r="X999"/>
      <c r="Y999" s="69"/>
      <c r="Z999"/>
      <c r="AA999" s="33"/>
    </row>
    <row r="1000" spans="1:27" s="31" customFormat="1">
      <c r="A1000" s="34"/>
      <c r="B1000" s="76"/>
      <c r="C1000" s="76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37"/>
      <c r="O1000" s="38"/>
      <c r="P1000" s="34"/>
      <c r="Q1000" s="45"/>
      <c r="R1000" s="84"/>
      <c r="S1000" s="47"/>
      <c r="T1000" s="42"/>
      <c r="U1000" s="42"/>
      <c r="W1000" s="73"/>
      <c r="X1000"/>
      <c r="Y1000" s="69"/>
      <c r="Z1000"/>
      <c r="AA1000" s="33"/>
    </row>
    <row r="1001" spans="1:27" s="31" customFormat="1">
      <c r="A1001" s="34"/>
      <c r="B1001" s="76"/>
      <c r="C1001" s="76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37"/>
      <c r="O1001" s="38"/>
      <c r="P1001" s="34"/>
      <c r="Q1001" s="45"/>
      <c r="R1001" s="84"/>
      <c r="S1001" s="47"/>
      <c r="T1001" s="42"/>
      <c r="U1001" s="42"/>
      <c r="W1001" s="73"/>
      <c r="X1001"/>
      <c r="Y1001" s="69"/>
      <c r="Z1001"/>
      <c r="AA1001" s="33"/>
    </row>
    <row r="1002" spans="1:27" s="31" customFormat="1">
      <c r="A1002" s="34"/>
      <c r="B1002" s="76"/>
      <c r="C1002" s="76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37"/>
      <c r="O1002" s="38"/>
      <c r="P1002" s="34"/>
      <c r="Q1002" s="45"/>
      <c r="R1002" s="84"/>
      <c r="S1002" s="47"/>
      <c r="T1002" s="42"/>
      <c r="U1002" s="42"/>
      <c r="W1002" s="73"/>
      <c r="X1002"/>
      <c r="Y1002" s="69"/>
      <c r="Z1002"/>
      <c r="AA1002" s="33"/>
    </row>
    <row r="1003" spans="1:27" s="31" customFormat="1">
      <c r="A1003" s="34"/>
      <c r="B1003" s="76"/>
      <c r="C1003" s="76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37"/>
      <c r="O1003" s="38"/>
      <c r="P1003" s="34"/>
      <c r="Q1003" s="34"/>
      <c r="R1003" s="76"/>
      <c r="S1003" s="47"/>
      <c r="T1003" s="42"/>
      <c r="U1003" s="42"/>
      <c r="W1003" s="73"/>
      <c r="X1003"/>
      <c r="Y1003" s="69"/>
      <c r="Z1003"/>
      <c r="AA1003" s="33"/>
    </row>
    <row r="1004" spans="1:27" s="31" customFormat="1">
      <c r="A1004" s="34"/>
      <c r="B1004" s="76"/>
      <c r="C1004" s="76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37"/>
      <c r="O1004" s="38"/>
      <c r="P1004" s="34"/>
      <c r="Q1004" s="34"/>
      <c r="R1004" s="76"/>
      <c r="S1004" s="47"/>
      <c r="T1004" s="42"/>
      <c r="U1004" s="42"/>
      <c r="W1004" s="73"/>
      <c r="X1004"/>
      <c r="Y1004" s="69"/>
      <c r="Z1004"/>
      <c r="AA1004" s="33"/>
    </row>
    <row r="1005" spans="1:27" s="31" customFormat="1">
      <c r="A1005" s="34"/>
      <c r="B1005" s="76"/>
      <c r="C1005" s="76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37"/>
      <c r="O1005" s="38"/>
      <c r="P1005" s="34"/>
      <c r="Q1005" s="34"/>
      <c r="R1005" s="76"/>
      <c r="S1005" s="47"/>
      <c r="T1005" s="42"/>
      <c r="U1005" s="42"/>
      <c r="W1005" s="73"/>
      <c r="X1005"/>
      <c r="Y1005" s="69"/>
      <c r="Z1005"/>
      <c r="AA1005" s="33"/>
    </row>
    <row r="1006" spans="1:27" s="31" customFormat="1">
      <c r="A1006" s="34"/>
      <c r="B1006" s="76"/>
      <c r="C1006" s="76"/>
      <c r="D1006" s="44"/>
      <c r="E1006" s="44"/>
      <c r="F1006" s="44"/>
      <c r="G1006" s="44"/>
      <c r="H1006" s="44"/>
      <c r="I1006" s="44"/>
      <c r="J1006" s="44"/>
      <c r="K1006" s="44"/>
      <c r="L1006" s="44"/>
      <c r="M1006" s="44"/>
      <c r="N1006" s="37"/>
      <c r="O1006" s="38"/>
      <c r="P1006" s="34"/>
      <c r="Q1006" s="34"/>
      <c r="R1006" s="76"/>
      <c r="S1006" s="47"/>
      <c r="T1006" s="42"/>
      <c r="U1006" s="42"/>
      <c r="W1006" s="73"/>
      <c r="X1006"/>
      <c r="Y1006" s="69"/>
      <c r="Z1006"/>
      <c r="AA1006" s="33"/>
    </row>
    <row r="1007" spans="1:27" s="31" customFormat="1">
      <c r="A1007" s="34"/>
      <c r="B1007" s="76"/>
      <c r="C1007" s="76"/>
      <c r="D1007" s="44"/>
      <c r="E1007" s="44"/>
      <c r="F1007" s="44"/>
      <c r="G1007" s="44"/>
      <c r="H1007" s="44"/>
      <c r="I1007" s="44"/>
      <c r="J1007" s="44"/>
      <c r="K1007" s="44"/>
      <c r="L1007" s="44"/>
      <c r="M1007" s="44"/>
      <c r="N1007" s="37"/>
      <c r="O1007" s="38"/>
      <c r="P1007" s="34"/>
      <c r="Q1007" s="34"/>
      <c r="R1007" s="76"/>
      <c r="S1007" s="47"/>
      <c r="T1007" s="42"/>
      <c r="U1007" s="42"/>
      <c r="W1007" s="73"/>
      <c r="X1007"/>
      <c r="Y1007" s="69"/>
      <c r="Z1007"/>
      <c r="AA1007" s="33"/>
    </row>
    <row r="1008" spans="1:27" s="31" customFormat="1">
      <c r="A1008" s="34"/>
      <c r="B1008" s="76"/>
      <c r="C1008" s="76"/>
      <c r="D1008" s="44"/>
      <c r="E1008" s="44"/>
      <c r="F1008" s="44"/>
      <c r="G1008" s="44"/>
      <c r="H1008" s="44"/>
      <c r="I1008" s="44"/>
      <c r="J1008" s="44"/>
      <c r="K1008" s="44"/>
      <c r="L1008" s="44"/>
      <c r="M1008" s="44"/>
      <c r="N1008" s="37"/>
      <c r="O1008" s="38"/>
      <c r="P1008" s="34"/>
      <c r="Q1008" s="34"/>
      <c r="R1008" s="76"/>
      <c r="S1008" s="47"/>
      <c r="T1008" s="42"/>
      <c r="U1008" s="42"/>
      <c r="W1008" s="73"/>
      <c r="X1008"/>
      <c r="Y1008" s="69"/>
      <c r="Z1008"/>
      <c r="AA1008" s="33"/>
    </row>
    <row r="1009" spans="1:27" s="31" customFormat="1">
      <c r="A1009" s="34"/>
      <c r="B1009" s="76"/>
      <c r="C1009" s="76"/>
      <c r="D1009" s="44"/>
      <c r="E1009" s="44"/>
      <c r="F1009" s="44"/>
      <c r="G1009" s="44"/>
      <c r="H1009" s="44"/>
      <c r="I1009" s="44"/>
      <c r="J1009" s="44"/>
      <c r="K1009" s="44"/>
      <c r="L1009" s="44"/>
      <c r="M1009" s="44"/>
      <c r="N1009" s="37"/>
      <c r="O1009" s="38"/>
      <c r="P1009" s="34"/>
      <c r="Q1009" s="34"/>
      <c r="R1009" s="76"/>
      <c r="S1009" s="47"/>
      <c r="T1009" s="42"/>
      <c r="U1009" s="42"/>
      <c r="W1009" s="73"/>
      <c r="X1009"/>
      <c r="Y1009" s="69"/>
      <c r="Z1009"/>
      <c r="AA1009" s="33"/>
    </row>
    <row r="1010" spans="1:27" s="31" customFormat="1">
      <c r="A1010" s="34"/>
      <c r="B1010" s="76"/>
      <c r="C1010" s="76"/>
      <c r="D1010" s="44"/>
      <c r="E1010" s="44"/>
      <c r="F1010" s="44"/>
      <c r="G1010" s="44"/>
      <c r="H1010" s="44"/>
      <c r="I1010" s="44"/>
      <c r="J1010" s="44"/>
      <c r="K1010" s="44"/>
      <c r="L1010" s="44"/>
      <c r="M1010" s="44"/>
      <c r="N1010" s="37"/>
      <c r="O1010" s="38"/>
      <c r="P1010" s="34"/>
      <c r="Q1010" s="34"/>
      <c r="R1010" s="76"/>
      <c r="S1010" s="47"/>
      <c r="T1010" s="42"/>
      <c r="U1010" s="42"/>
      <c r="W1010" s="73"/>
      <c r="X1010"/>
      <c r="Y1010" s="69"/>
      <c r="Z1010"/>
      <c r="AA1010" s="33"/>
    </row>
    <row r="1011" spans="1:27" s="31" customFormat="1">
      <c r="A1011" s="34"/>
      <c r="B1011" s="76"/>
      <c r="C1011" s="76"/>
      <c r="D1011" s="44"/>
      <c r="E1011" s="44"/>
      <c r="F1011" s="44"/>
      <c r="G1011" s="44"/>
      <c r="H1011" s="44"/>
      <c r="I1011" s="44"/>
      <c r="J1011" s="44"/>
      <c r="K1011" s="44"/>
      <c r="L1011" s="44"/>
      <c r="M1011" s="44"/>
      <c r="N1011" s="37"/>
      <c r="O1011" s="38"/>
      <c r="P1011" s="34"/>
      <c r="Q1011" s="34"/>
      <c r="R1011" s="76"/>
      <c r="S1011" s="47"/>
      <c r="T1011" s="42"/>
      <c r="U1011" s="42"/>
      <c r="W1011" s="73"/>
      <c r="X1011"/>
      <c r="Y1011" s="69"/>
      <c r="Z1011"/>
      <c r="AA1011" s="33"/>
    </row>
    <row r="1012" spans="1:27" s="31" customFormat="1">
      <c r="A1012" s="34"/>
      <c r="B1012" s="76"/>
      <c r="C1012" s="76"/>
      <c r="D1012" s="44"/>
      <c r="E1012" s="44"/>
      <c r="F1012" s="44"/>
      <c r="G1012" s="44"/>
      <c r="H1012" s="44"/>
      <c r="I1012" s="44"/>
      <c r="J1012" s="44"/>
      <c r="K1012" s="44"/>
      <c r="L1012" s="44"/>
      <c r="M1012" s="44"/>
      <c r="N1012" s="37"/>
      <c r="O1012" s="38"/>
      <c r="P1012" s="34"/>
      <c r="Q1012" s="34"/>
      <c r="R1012" s="76"/>
      <c r="S1012" s="47"/>
      <c r="T1012" s="42"/>
      <c r="U1012" s="42"/>
      <c r="W1012" s="73"/>
      <c r="X1012"/>
      <c r="Y1012" s="69"/>
      <c r="Z1012"/>
      <c r="AA1012" s="33"/>
    </row>
    <row r="1013" spans="1:27" s="31" customFormat="1">
      <c r="A1013" s="34"/>
      <c r="B1013" s="76"/>
      <c r="C1013" s="76"/>
      <c r="D1013" s="44"/>
      <c r="E1013" s="44"/>
      <c r="F1013" s="44"/>
      <c r="G1013" s="44"/>
      <c r="H1013" s="44"/>
      <c r="I1013" s="44"/>
      <c r="J1013" s="44"/>
      <c r="K1013" s="44"/>
      <c r="L1013" s="44"/>
      <c r="M1013" s="44"/>
      <c r="N1013" s="37"/>
      <c r="O1013" s="38"/>
      <c r="P1013" s="34"/>
      <c r="Q1013" s="34"/>
      <c r="R1013" s="76"/>
      <c r="S1013" s="47"/>
      <c r="T1013" s="42"/>
      <c r="U1013" s="42"/>
      <c r="W1013" s="73"/>
      <c r="X1013"/>
      <c r="Y1013" s="69"/>
      <c r="Z1013"/>
      <c r="AA1013" s="33"/>
    </row>
    <row r="1014" spans="1:27" s="31" customFormat="1">
      <c r="A1014" s="34"/>
      <c r="B1014" s="76"/>
      <c r="C1014" s="76"/>
      <c r="D1014" s="44"/>
      <c r="E1014" s="44"/>
      <c r="F1014" s="44"/>
      <c r="G1014" s="44"/>
      <c r="H1014" s="44"/>
      <c r="I1014" s="44"/>
      <c r="J1014" s="44"/>
      <c r="K1014" s="44"/>
      <c r="L1014" s="44"/>
      <c r="M1014" s="44"/>
      <c r="N1014" s="37"/>
      <c r="O1014" s="38"/>
      <c r="P1014" s="34"/>
      <c r="Q1014" s="34"/>
      <c r="R1014" s="76"/>
      <c r="S1014" s="47"/>
      <c r="T1014" s="42"/>
      <c r="U1014" s="42"/>
      <c r="W1014" s="73"/>
      <c r="X1014"/>
      <c r="Y1014" s="69"/>
      <c r="Z1014"/>
      <c r="AA1014" s="33"/>
    </row>
    <row r="1015" spans="1:27" s="31" customFormat="1">
      <c r="A1015" s="34"/>
      <c r="B1015" s="76"/>
      <c r="C1015" s="76"/>
      <c r="D1015" s="44"/>
      <c r="E1015" s="44"/>
      <c r="F1015" s="44"/>
      <c r="G1015" s="44"/>
      <c r="H1015" s="44"/>
      <c r="I1015" s="44"/>
      <c r="J1015" s="44"/>
      <c r="K1015" s="44"/>
      <c r="L1015" s="44"/>
      <c r="M1015" s="44"/>
      <c r="N1015" s="37"/>
      <c r="O1015" s="38"/>
      <c r="P1015" s="34"/>
      <c r="Q1015" s="34"/>
      <c r="R1015" s="76"/>
      <c r="S1015" s="47"/>
      <c r="T1015" s="42"/>
      <c r="U1015" s="42"/>
      <c r="W1015" s="73"/>
      <c r="X1015"/>
      <c r="Y1015" s="69"/>
      <c r="Z1015"/>
      <c r="AA1015" s="33"/>
    </row>
    <row r="1016" spans="1:27" s="31" customFormat="1">
      <c r="A1016" s="34"/>
      <c r="B1016" s="76"/>
      <c r="C1016" s="76"/>
      <c r="D1016" s="44"/>
      <c r="E1016" s="44"/>
      <c r="F1016" s="44"/>
      <c r="G1016" s="44"/>
      <c r="H1016" s="44"/>
      <c r="I1016" s="44"/>
      <c r="J1016" s="44"/>
      <c r="K1016" s="44"/>
      <c r="L1016" s="44"/>
      <c r="M1016" s="44"/>
      <c r="N1016" s="37"/>
      <c r="O1016" s="38"/>
      <c r="P1016" s="34"/>
      <c r="Q1016" s="34"/>
      <c r="R1016" s="76"/>
      <c r="S1016" s="47"/>
      <c r="T1016" s="42"/>
      <c r="U1016" s="42"/>
      <c r="W1016" s="73"/>
      <c r="X1016"/>
      <c r="Y1016" s="69"/>
      <c r="Z1016"/>
      <c r="AA1016" s="33"/>
    </row>
    <row r="1017" spans="1:27" s="31" customFormat="1">
      <c r="A1017" s="34"/>
      <c r="B1017" s="76"/>
      <c r="C1017" s="76"/>
      <c r="D1017" s="44"/>
      <c r="E1017" s="44"/>
      <c r="F1017" s="44"/>
      <c r="G1017" s="44"/>
      <c r="H1017" s="44"/>
      <c r="I1017" s="44"/>
      <c r="J1017" s="44"/>
      <c r="K1017" s="44"/>
      <c r="L1017" s="44"/>
      <c r="M1017" s="44"/>
      <c r="N1017" s="37"/>
      <c r="O1017" s="38"/>
      <c r="P1017" s="34"/>
      <c r="Q1017" s="34"/>
      <c r="R1017" s="76"/>
      <c r="S1017" s="47"/>
      <c r="T1017" s="42"/>
      <c r="U1017" s="42"/>
      <c r="W1017" s="73"/>
      <c r="X1017"/>
      <c r="Y1017" s="69"/>
      <c r="Z1017"/>
      <c r="AA1017" s="33"/>
    </row>
    <row r="1018" spans="1:27" s="31" customFormat="1">
      <c r="A1018" s="34"/>
      <c r="B1018" s="76"/>
      <c r="C1018" s="76"/>
      <c r="D1018" s="44"/>
      <c r="E1018" s="44"/>
      <c r="F1018" s="44"/>
      <c r="G1018" s="44"/>
      <c r="H1018" s="44"/>
      <c r="I1018" s="44"/>
      <c r="J1018" s="44"/>
      <c r="K1018" s="44"/>
      <c r="L1018" s="44"/>
      <c r="M1018" s="44"/>
      <c r="N1018" s="37"/>
      <c r="O1018" s="38"/>
      <c r="P1018" s="34"/>
      <c r="Q1018" s="34"/>
      <c r="R1018" s="76"/>
      <c r="S1018" s="47"/>
      <c r="T1018" s="42"/>
      <c r="U1018" s="42"/>
      <c r="W1018" s="73"/>
      <c r="X1018"/>
      <c r="Y1018" s="69"/>
      <c r="Z1018"/>
      <c r="AA1018" s="33"/>
    </row>
    <row r="1019" spans="1:27" s="31" customFormat="1">
      <c r="A1019" s="34"/>
      <c r="B1019" s="76"/>
      <c r="C1019" s="76"/>
      <c r="D1019" s="44"/>
      <c r="E1019" s="44"/>
      <c r="F1019" s="44"/>
      <c r="G1019" s="44"/>
      <c r="H1019" s="44"/>
      <c r="I1019" s="44"/>
      <c r="J1019" s="44"/>
      <c r="K1019" s="44"/>
      <c r="L1019" s="44"/>
      <c r="M1019" s="44"/>
      <c r="N1019" s="37"/>
      <c r="O1019" s="38"/>
      <c r="P1019" s="34"/>
      <c r="Q1019" s="34"/>
      <c r="R1019" s="76"/>
      <c r="S1019" s="47"/>
      <c r="T1019" s="42"/>
      <c r="U1019" s="42"/>
      <c r="W1019" s="73"/>
      <c r="X1019"/>
      <c r="Y1019" s="69"/>
      <c r="Z1019"/>
      <c r="AA1019" s="33"/>
    </row>
    <row r="1020" spans="1:27" s="31" customFormat="1">
      <c r="A1020" s="34"/>
      <c r="B1020" s="76"/>
      <c r="C1020" s="76"/>
      <c r="D1020" s="44"/>
      <c r="E1020" s="44"/>
      <c r="F1020" s="44"/>
      <c r="G1020" s="44"/>
      <c r="H1020" s="44"/>
      <c r="I1020" s="44"/>
      <c r="J1020" s="44"/>
      <c r="K1020" s="44"/>
      <c r="L1020" s="44"/>
      <c r="M1020" s="44"/>
      <c r="N1020" s="37"/>
      <c r="O1020" s="38"/>
      <c r="P1020" s="34"/>
      <c r="Q1020" s="34"/>
      <c r="R1020" s="76"/>
      <c r="S1020" s="47"/>
      <c r="T1020" s="42"/>
      <c r="U1020" s="42"/>
      <c r="W1020" s="73"/>
      <c r="X1020"/>
      <c r="Y1020" s="69"/>
      <c r="Z1020"/>
      <c r="AA1020" s="33"/>
    </row>
    <row r="1021" spans="1:27" s="31" customFormat="1">
      <c r="A1021" s="34"/>
      <c r="B1021" s="76"/>
      <c r="C1021" s="76"/>
      <c r="D1021" s="44"/>
      <c r="E1021" s="44"/>
      <c r="F1021" s="44"/>
      <c r="G1021" s="44"/>
      <c r="H1021" s="44"/>
      <c r="I1021" s="44"/>
      <c r="J1021" s="44"/>
      <c r="K1021" s="44"/>
      <c r="L1021" s="44"/>
      <c r="M1021" s="44"/>
      <c r="N1021" s="37"/>
      <c r="O1021" s="38"/>
      <c r="P1021" s="34"/>
      <c r="Q1021" s="34"/>
      <c r="R1021" s="76"/>
      <c r="S1021" s="47"/>
      <c r="T1021" s="42"/>
      <c r="U1021" s="42"/>
      <c r="W1021" s="73"/>
      <c r="X1021"/>
      <c r="Y1021" s="69"/>
      <c r="Z1021"/>
      <c r="AA1021" s="33"/>
    </row>
    <row r="1022" spans="1:27" s="31" customFormat="1">
      <c r="A1022" s="34"/>
      <c r="B1022" s="76"/>
      <c r="C1022" s="76"/>
      <c r="D1022" s="44"/>
      <c r="E1022" s="44"/>
      <c r="F1022" s="44"/>
      <c r="G1022" s="44"/>
      <c r="H1022" s="44"/>
      <c r="I1022" s="44"/>
      <c r="J1022" s="44"/>
      <c r="K1022" s="44"/>
      <c r="L1022" s="44"/>
      <c r="M1022" s="44"/>
      <c r="N1022" s="37"/>
      <c r="O1022" s="38"/>
      <c r="P1022" s="34"/>
      <c r="Q1022" s="34"/>
      <c r="R1022" s="76"/>
      <c r="S1022" s="47"/>
      <c r="T1022" s="42"/>
      <c r="U1022" s="42"/>
      <c r="W1022" s="73"/>
      <c r="X1022"/>
      <c r="Y1022" s="69"/>
      <c r="Z1022"/>
      <c r="AA1022" s="33"/>
    </row>
    <row r="1023" spans="1:27" s="31" customFormat="1">
      <c r="A1023" s="34"/>
      <c r="B1023" s="76"/>
      <c r="C1023" s="76"/>
      <c r="D1023" s="44"/>
      <c r="E1023" s="44"/>
      <c r="F1023" s="44"/>
      <c r="G1023" s="44"/>
      <c r="H1023" s="44"/>
      <c r="I1023" s="44"/>
      <c r="J1023" s="44"/>
      <c r="K1023" s="44"/>
      <c r="L1023" s="44"/>
      <c r="M1023" s="44"/>
      <c r="N1023" s="37"/>
      <c r="O1023" s="38"/>
      <c r="P1023" s="34"/>
      <c r="Q1023" s="34"/>
      <c r="R1023" s="76"/>
      <c r="S1023" s="47"/>
      <c r="T1023" s="42"/>
      <c r="U1023" s="42"/>
      <c r="W1023" s="73"/>
      <c r="X1023"/>
      <c r="Y1023" s="69"/>
      <c r="Z1023"/>
      <c r="AA1023" s="33"/>
    </row>
    <row r="1024" spans="1:27" s="31" customFormat="1">
      <c r="A1024" s="34"/>
      <c r="B1024" s="76"/>
      <c r="C1024" s="76"/>
      <c r="D1024" s="44"/>
      <c r="E1024" s="44"/>
      <c r="F1024" s="44"/>
      <c r="G1024" s="44"/>
      <c r="H1024" s="44"/>
      <c r="I1024" s="44"/>
      <c r="J1024" s="44"/>
      <c r="K1024" s="44"/>
      <c r="L1024" s="44"/>
      <c r="M1024" s="44"/>
      <c r="N1024" s="37"/>
      <c r="O1024" s="38"/>
      <c r="P1024" s="34"/>
      <c r="Q1024" s="34"/>
      <c r="R1024" s="76"/>
      <c r="S1024" s="47"/>
      <c r="T1024" s="42"/>
      <c r="U1024" s="42"/>
      <c r="W1024" s="73"/>
      <c r="X1024"/>
      <c r="Y1024" s="69"/>
      <c r="Z1024"/>
      <c r="AA1024" s="33"/>
    </row>
    <row r="1025" spans="1:27" s="31" customFormat="1">
      <c r="A1025" s="34"/>
      <c r="B1025" s="76"/>
      <c r="C1025" s="76"/>
      <c r="D1025" s="44"/>
      <c r="E1025" s="44"/>
      <c r="F1025" s="44"/>
      <c r="G1025" s="44"/>
      <c r="H1025" s="44"/>
      <c r="I1025" s="44"/>
      <c r="J1025" s="44"/>
      <c r="K1025" s="44"/>
      <c r="L1025" s="44"/>
      <c r="M1025" s="44"/>
      <c r="N1025" s="37"/>
      <c r="O1025" s="38"/>
      <c r="P1025" s="34"/>
      <c r="Q1025" s="34"/>
      <c r="R1025" s="76"/>
      <c r="S1025" s="47"/>
      <c r="T1025" s="42"/>
      <c r="U1025" s="42"/>
      <c r="W1025" s="73"/>
      <c r="X1025"/>
      <c r="Y1025" s="69"/>
      <c r="Z1025"/>
      <c r="AA1025" s="33"/>
    </row>
    <row r="1026" spans="1:27" s="31" customFormat="1">
      <c r="A1026" s="34"/>
      <c r="B1026" s="76"/>
      <c r="C1026" s="76"/>
      <c r="D1026" s="44"/>
      <c r="E1026" s="44"/>
      <c r="F1026" s="44"/>
      <c r="G1026" s="44"/>
      <c r="H1026" s="44"/>
      <c r="I1026" s="44"/>
      <c r="J1026" s="44"/>
      <c r="K1026" s="44"/>
      <c r="L1026" s="44"/>
      <c r="M1026" s="44"/>
      <c r="N1026" s="37"/>
      <c r="O1026" s="38"/>
      <c r="P1026" s="34"/>
      <c r="Q1026" s="34"/>
      <c r="R1026" s="76"/>
      <c r="S1026" s="47"/>
      <c r="T1026" s="42"/>
      <c r="U1026" s="42"/>
      <c r="W1026" s="73"/>
      <c r="X1026"/>
      <c r="Y1026" s="69"/>
      <c r="Z1026"/>
      <c r="AA1026" s="33"/>
    </row>
    <row r="1027" spans="1:27" s="31" customFormat="1">
      <c r="A1027" s="34"/>
      <c r="B1027" s="76"/>
      <c r="C1027" s="76"/>
      <c r="D1027" s="44"/>
      <c r="E1027" s="44"/>
      <c r="F1027" s="44"/>
      <c r="G1027" s="44"/>
      <c r="H1027" s="44"/>
      <c r="I1027" s="44"/>
      <c r="J1027" s="44"/>
      <c r="K1027" s="44"/>
      <c r="L1027" s="44"/>
      <c r="M1027" s="44"/>
      <c r="N1027" s="37"/>
      <c r="O1027" s="38"/>
      <c r="P1027" s="34"/>
      <c r="Q1027" s="34"/>
      <c r="R1027" s="76"/>
      <c r="S1027" s="47"/>
      <c r="T1027" s="42"/>
      <c r="U1027" s="42"/>
      <c r="W1027" s="73"/>
      <c r="X1027"/>
      <c r="Y1027" s="69"/>
      <c r="Z1027"/>
      <c r="AA1027" s="33"/>
    </row>
    <row r="1028" spans="1:27" s="31" customFormat="1">
      <c r="A1028" s="34"/>
      <c r="B1028" s="76"/>
      <c r="C1028" s="76"/>
      <c r="D1028" s="44"/>
      <c r="E1028" s="44"/>
      <c r="F1028" s="44"/>
      <c r="G1028" s="44"/>
      <c r="H1028" s="44"/>
      <c r="I1028" s="44"/>
      <c r="J1028" s="44"/>
      <c r="K1028" s="44"/>
      <c r="L1028" s="44"/>
      <c r="M1028" s="44"/>
      <c r="N1028" s="37"/>
      <c r="O1028" s="38"/>
      <c r="P1028" s="34"/>
      <c r="Q1028" s="34"/>
      <c r="R1028" s="76"/>
      <c r="S1028" s="47"/>
      <c r="T1028" s="42"/>
      <c r="U1028" s="42"/>
      <c r="W1028" s="73"/>
      <c r="X1028"/>
      <c r="Y1028" s="69"/>
      <c r="Z1028"/>
      <c r="AA1028" s="33"/>
    </row>
    <row r="1029" spans="1:27" s="31" customFormat="1">
      <c r="A1029" s="34"/>
      <c r="B1029" s="76"/>
      <c r="C1029" s="76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37"/>
      <c r="O1029" s="38"/>
      <c r="P1029" s="34"/>
      <c r="Q1029" s="34"/>
      <c r="R1029" s="76"/>
      <c r="S1029" s="47"/>
      <c r="T1029" s="42"/>
      <c r="U1029" s="42"/>
      <c r="W1029" s="73"/>
      <c r="X1029"/>
      <c r="Y1029" s="69"/>
      <c r="Z1029"/>
      <c r="AA1029" s="33"/>
    </row>
    <row r="1030" spans="1:27" s="31" customFormat="1">
      <c r="A1030" s="34"/>
      <c r="B1030" s="76"/>
      <c r="C1030" s="76"/>
      <c r="D1030" s="44"/>
      <c r="E1030" s="44"/>
      <c r="F1030" s="44"/>
      <c r="G1030" s="44"/>
      <c r="H1030" s="44"/>
      <c r="I1030" s="44"/>
      <c r="J1030" s="44"/>
      <c r="K1030" s="44"/>
      <c r="L1030" s="44"/>
      <c r="M1030" s="44"/>
      <c r="N1030" s="37"/>
      <c r="O1030" s="38"/>
      <c r="P1030" s="34"/>
      <c r="Q1030" s="34"/>
      <c r="R1030" s="76"/>
      <c r="S1030" s="47"/>
      <c r="T1030" s="42"/>
      <c r="U1030" s="42"/>
      <c r="W1030" s="73"/>
      <c r="X1030"/>
      <c r="Y1030" s="69"/>
      <c r="Z1030"/>
      <c r="AA1030" s="33"/>
    </row>
    <row r="1031" spans="1:27" s="31" customFormat="1">
      <c r="A1031" s="34"/>
      <c r="B1031" s="76"/>
      <c r="C1031" s="76"/>
      <c r="D1031" s="44"/>
      <c r="E1031" s="44"/>
      <c r="F1031" s="44"/>
      <c r="G1031" s="44"/>
      <c r="H1031" s="44"/>
      <c r="I1031" s="44"/>
      <c r="J1031" s="44"/>
      <c r="K1031" s="44"/>
      <c r="L1031" s="44"/>
      <c r="M1031" s="44"/>
      <c r="N1031" s="37"/>
      <c r="O1031" s="38"/>
      <c r="P1031" s="34"/>
      <c r="Q1031" s="34"/>
      <c r="R1031" s="76"/>
      <c r="S1031" s="47"/>
      <c r="T1031" s="42"/>
      <c r="U1031" s="42"/>
      <c r="W1031" s="73"/>
      <c r="X1031"/>
      <c r="Y1031" s="69"/>
      <c r="Z1031"/>
      <c r="AA1031" s="33"/>
    </row>
    <row r="1032" spans="1:27" s="31" customFormat="1">
      <c r="A1032" s="34"/>
      <c r="B1032" s="76"/>
      <c r="C1032" s="76"/>
      <c r="D1032" s="44"/>
      <c r="E1032" s="44"/>
      <c r="F1032" s="44"/>
      <c r="G1032" s="44"/>
      <c r="H1032" s="44"/>
      <c r="I1032" s="44"/>
      <c r="J1032" s="44"/>
      <c r="K1032" s="44"/>
      <c r="L1032" s="44"/>
      <c r="M1032" s="44"/>
      <c r="N1032" s="37"/>
      <c r="O1032" s="38"/>
      <c r="P1032" s="34"/>
      <c r="Q1032" s="34"/>
      <c r="R1032" s="76"/>
      <c r="S1032" s="47"/>
      <c r="T1032" s="42"/>
      <c r="U1032" s="42"/>
      <c r="W1032" s="73"/>
      <c r="X1032"/>
      <c r="Y1032" s="69"/>
      <c r="Z1032"/>
      <c r="AA1032" s="33"/>
    </row>
    <row r="1033" spans="1:27" s="31" customFormat="1">
      <c r="A1033" s="34"/>
      <c r="B1033" s="76"/>
      <c r="C1033" s="76"/>
      <c r="D1033" s="44"/>
      <c r="E1033" s="44"/>
      <c r="F1033" s="44"/>
      <c r="G1033" s="44"/>
      <c r="H1033" s="44"/>
      <c r="I1033" s="44"/>
      <c r="J1033" s="44"/>
      <c r="K1033" s="44"/>
      <c r="L1033" s="44"/>
      <c r="M1033" s="44"/>
      <c r="N1033" s="37"/>
      <c r="O1033" s="38"/>
      <c r="P1033" s="34"/>
      <c r="Q1033" s="34"/>
      <c r="R1033" s="76"/>
      <c r="S1033" s="47"/>
      <c r="T1033" s="42"/>
      <c r="U1033" s="42"/>
      <c r="W1033" s="73"/>
      <c r="X1033"/>
      <c r="Y1033" s="69"/>
      <c r="Z1033"/>
      <c r="AA1033" s="33"/>
    </row>
    <row r="1034" spans="1:27" s="31" customFormat="1">
      <c r="A1034" s="34"/>
      <c r="B1034" s="76"/>
      <c r="C1034" s="76"/>
      <c r="D1034" s="44"/>
      <c r="E1034" s="44"/>
      <c r="F1034" s="44"/>
      <c r="G1034" s="44"/>
      <c r="H1034" s="44"/>
      <c r="I1034" s="44"/>
      <c r="J1034" s="44"/>
      <c r="K1034" s="44"/>
      <c r="L1034" s="44"/>
      <c r="M1034" s="44"/>
      <c r="N1034" s="37"/>
      <c r="O1034" s="38"/>
      <c r="P1034" s="34"/>
      <c r="Q1034" s="34"/>
      <c r="R1034" s="76"/>
      <c r="S1034" s="47"/>
      <c r="T1034" s="42"/>
      <c r="U1034" s="42"/>
      <c r="W1034" s="73"/>
      <c r="X1034"/>
      <c r="Y1034" s="69"/>
      <c r="Z1034"/>
      <c r="AA1034" s="33"/>
    </row>
    <row r="1035" spans="1:27" s="31" customFormat="1">
      <c r="A1035" s="34"/>
      <c r="B1035" s="76"/>
      <c r="C1035" s="76"/>
      <c r="D1035" s="44"/>
      <c r="E1035" s="44"/>
      <c r="F1035" s="44"/>
      <c r="G1035" s="44"/>
      <c r="H1035" s="44"/>
      <c r="I1035" s="44"/>
      <c r="J1035" s="44"/>
      <c r="K1035" s="44"/>
      <c r="L1035" s="44"/>
      <c r="M1035" s="44"/>
      <c r="N1035" s="37"/>
      <c r="O1035" s="38"/>
      <c r="P1035" s="34"/>
      <c r="Q1035" s="34"/>
      <c r="R1035" s="76"/>
      <c r="S1035" s="47"/>
      <c r="T1035" s="42"/>
      <c r="U1035" s="42"/>
      <c r="W1035" s="73"/>
      <c r="X1035"/>
      <c r="Y1035" s="69"/>
      <c r="Z1035"/>
      <c r="AA1035" s="33"/>
    </row>
    <row r="1036" spans="1:27" s="31" customFormat="1">
      <c r="A1036" s="34"/>
      <c r="B1036" s="76"/>
      <c r="C1036" s="76"/>
      <c r="D1036" s="44"/>
      <c r="E1036" s="44"/>
      <c r="F1036" s="44"/>
      <c r="G1036" s="44"/>
      <c r="H1036" s="44"/>
      <c r="I1036" s="44"/>
      <c r="J1036" s="44"/>
      <c r="K1036" s="44"/>
      <c r="L1036" s="44"/>
      <c r="M1036" s="44"/>
      <c r="N1036" s="37"/>
      <c r="O1036" s="38"/>
      <c r="P1036" s="34"/>
      <c r="Q1036" s="34"/>
      <c r="R1036" s="76"/>
      <c r="S1036" s="47"/>
      <c r="T1036" s="42"/>
      <c r="U1036" s="42"/>
      <c r="W1036" s="73"/>
      <c r="X1036"/>
      <c r="Y1036" s="69"/>
      <c r="Z1036"/>
      <c r="AA1036" s="33"/>
    </row>
    <row r="1037" spans="1:27" s="31" customFormat="1">
      <c r="A1037" s="34"/>
      <c r="B1037" s="76"/>
      <c r="C1037" s="76"/>
      <c r="D1037" s="44"/>
      <c r="E1037" s="44"/>
      <c r="F1037" s="44"/>
      <c r="G1037" s="44"/>
      <c r="H1037" s="44"/>
      <c r="I1037" s="44"/>
      <c r="J1037" s="44"/>
      <c r="K1037" s="44"/>
      <c r="L1037" s="44"/>
      <c r="M1037" s="44"/>
      <c r="N1037" s="37"/>
      <c r="O1037" s="38"/>
      <c r="P1037" s="34"/>
      <c r="Q1037" s="34"/>
      <c r="R1037" s="76"/>
      <c r="S1037" s="47"/>
      <c r="T1037" s="42"/>
      <c r="U1037" s="42"/>
      <c r="W1037" s="73"/>
      <c r="X1037"/>
      <c r="Y1037" s="69"/>
      <c r="Z1037"/>
      <c r="AA1037" s="33"/>
    </row>
    <row r="1038" spans="1:27" s="31" customFormat="1">
      <c r="A1038" s="34"/>
      <c r="B1038" s="76"/>
      <c r="C1038" s="76"/>
      <c r="D1038" s="44"/>
      <c r="E1038" s="44"/>
      <c r="F1038" s="44"/>
      <c r="G1038" s="44"/>
      <c r="H1038" s="44"/>
      <c r="I1038" s="44"/>
      <c r="J1038" s="44"/>
      <c r="K1038" s="44"/>
      <c r="L1038" s="44"/>
      <c r="M1038" s="44"/>
      <c r="N1038" s="37"/>
      <c r="O1038" s="38"/>
      <c r="P1038" s="34"/>
      <c r="Q1038" s="34"/>
      <c r="R1038" s="76"/>
      <c r="S1038" s="47"/>
      <c r="T1038" s="42"/>
      <c r="U1038" s="42"/>
      <c r="W1038" s="73"/>
      <c r="X1038"/>
      <c r="Y1038" s="69"/>
      <c r="Z1038"/>
      <c r="AA1038" s="33"/>
    </row>
    <row r="1039" spans="1:27" s="31" customFormat="1">
      <c r="A1039" s="34"/>
      <c r="B1039" s="76"/>
      <c r="C1039" s="76"/>
      <c r="D1039" s="44"/>
      <c r="E1039" s="44"/>
      <c r="F1039" s="44"/>
      <c r="G1039" s="44"/>
      <c r="H1039" s="44"/>
      <c r="I1039" s="44"/>
      <c r="J1039" s="44"/>
      <c r="K1039" s="44"/>
      <c r="L1039" s="44"/>
      <c r="M1039" s="44"/>
      <c r="N1039" s="37"/>
      <c r="O1039" s="38"/>
      <c r="P1039" s="34"/>
      <c r="Q1039" s="34"/>
      <c r="R1039" s="76"/>
      <c r="S1039" s="47"/>
      <c r="T1039" s="42"/>
      <c r="U1039" s="42"/>
      <c r="W1039" s="73"/>
      <c r="X1039"/>
      <c r="Y1039" s="69"/>
      <c r="Z1039"/>
      <c r="AA1039" s="33"/>
    </row>
    <row r="1040" spans="1:27" s="31" customFormat="1">
      <c r="A1040" s="34"/>
      <c r="B1040" s="76"/>
      <c r="C1040" s="76"/>
      <c r="D1040" s="44"/>
      <c r="E1040" s="44"/>
      <c r="F1040" s="44"/>
      <c r="G1040" s="44"/>
      <c r="H1040" s="44"/>
      <c r="I1040" s="44"/>
      <c r="J1040" s="44"/>
      <c r="K1040" s="44"/>
      <c r="L1040" s="44"/>
      <c r="M1040" s="44"/>
      <c r="N1040" s="37"/>
      <c r="O1040" s="38"/>
      <c r="P1040" s="34"/>
      <c r="Q1040" s="34"/>
      <c r="R1040" s="76"/>
      <c r="S1040" s="47"/>
      <c r="T1040" s="42"/>
      <c r="U1040" s="42"/>
      <c r="W1040" s="73"/>
      <c r="X1040"/>
      <c r="Y1040" s="69"/>
      <c r="Z1040"/>
      <c r="AA1040" s="33"/>
    </row>
    <row r="1041" spans="1:27" s="31" customFormat="1">
      <c r="A1041" s="34"/>
      <c r="B1041" s="76"/>
      <c r="C1041" s="76"/>
      <c r="D1041" s="44"/>
      <c r="E1041" s="44"/>
      <c r="F1041" s="44"/>
      <c r="G1041" s="44"/>
      <c r="H1041" s="44"/>
      <c r="I1041" s="44"/>
      <c r="J1041" s="44"/>
      <c r="K1041" s="44"/>
      <c r="L1041" s="44"/>
      <c r="M1041" s="44"/>
      <c r="N1041" s="37"/>
      <c r="O1041" s="38"/>
      <c r="P1041" s="34"/>
      <c r="Q1041" s="34"/>
      <c r="R1041" s="76"/>
      <c r="S1041" s="47"/>
      <c r="T1041" s="42"/>
      <c r="U1041" s="42"/>
      <c r="W1041" s="73"/>
      <c r="X1041"/>
      <c r="Y1041" s="69"/>
      <c r="Z1041"/>
      <c r="AA1041" s="33"/>
    </row>
    <row r="1042" spans="1:27" s="31" customFormat="1">
      <c r="A1042" s="34"/>
      <c r="B1042" s="76"/>
      <c r="C1042" s="76"/>
      <c r="D1042" s="44"/>
      <c r="E1042" s="44"/>
      <c r="F1042" s="44"/>
      <c r="G1042" s="44"/>
      <c r="H1042" s="44"/>
      <c r="I1042" s="44"/>
      <c r="J1042" s="44"/>
      <c r="K1042" s="44"/>
      <c r="L1042" s="44"/>
      <c r="M1042" s="44"/>
      <c r="N1042" s="37"/>
      <c r="O1042" s="38"/>
      <c r="P1042" s="34"/>
      <c r="Q1042" s="34"/>
      <c r="R1042" s="76"/>
      <c r="S1042" s="47"/>
      <c r="T1042" s="42"/>
      <c r="U1042" s="42"/>
      <c r="W1042" s="73"/>
      <c r="X1042"/>
      <c r="Y1042" s="69"/>
      <c r="Z1042"/>
      <c r="AA1042" s="33"/>
    </row>
    <row r="1043" spans="1:27" s="31" customFormat="1">
      <c r="A1043" s="34"/>
      <c r="B1043" s="76"/>
      <c r="C1043" s="76"/>
      <c r="D1043" s="44"/>
      <c r="E1043" s="44"/>
      <c r="F1043" s="44"/>
      <c r="G1043" s="44"/>
      <c r="H1043" s="44"/>
      <c r="I1043" s="44"/>
      <c r="J1043" s="44"/>
      <c r="K1043" s="44"/>
      <c r="L1043" s="44"/>
      <c r="M1043" s="44"/>
      <c r="N1043" s="37"/>
      <c r="O1043" s="38"/>
      <c r="P1043" s="34"/>
      <c r="Q1043" s="34"/>
      <c r="R1043" s="76"/>
      <c r="S1043" s="47"/>
      <c r="T1043" s="42"/>
      <c r="U1043" s="42"/>
      <c r="W1043" s="73"/>
      <c r="X1043"/>
      <c r="Y1043" s="69"/>
      <c r="Z1043"/>
      <c r="AA1043" s="33"/>
    </row>
    <row r="1044" spans="1:27" s="31" customFormat="1">
      <c r="A1044" s="34"/>
      <c r="B1044" s="76"/>
      <c r="C1044" s="76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37"/>
      <c r="O1044" s="38"/>
      <c r="P1044" s="34"/>
      <c r="Q1044" s="34"/>
      <c r="R1044" s="76"/>
      <c r="S1044" s="47"/>
      <c r="T1044" s="42"/>
      <c r="U1044" s="42"/>
      <c r="W1044" s="73"/>
      <c r="X1044"/>
      <c r="Y1044" s="69"/>
      <c r="Z1044"/>
      <c r="AA1044" s="33"/>
    </row>
    <row r="1045" spans="1:27" s="31" customFormat="1">
      <c r="A1045" s="34"/>
      <c r="B1045" s="76"/>
      <c r="C1045" s="76"/>
      <c r="D1045" s="44"/>
      <c r="E1045" s="44"/>
      <c r="F1045" s="44"/>
      <c r="G1045" s="44"/>
      <c r="H1045" s="44"/>
      <c r="I1045" s="44"/>
      <c r="J1045" s="44"/>
      <c r="K1045" s="44"/>
      <c r="L1045" s="44"/>
      <c r="M1045" s="44"/>
      <c r="N1045" s="37"/>
      <c r="O1045" s="38"/>
      <c r="P1045" s="34"/>
      <c r="Q1045" s="34"/>
      <c r="R1045" s="76"/>
      <c r="S1045" s="47"/>
      <c r="T1045" s="42"/>
      <c r="U1045" s="42"/>
      <c r="W1045" s="73"/>
      <c r="X1045"/>
      <c r="Y1045" s="69"/>
      <c r="Z1045"/>
      <c r="AA1045" s="33"/>
    </row>
    <row r="1046" spans="1:27" s="31" customFormat="1">
      <c r="A1046" s="34"/>
      <c r="B1046" s="76"/>
      <c r="C1046" s="76"/>
      <c r="D1046" s="44"/>
      <c r="E1046" s="44"/>
      <c r="F1046" s="44"/>
      <c r="G1046" s="44"/>
      <c r="H1046" s="44"/>
      <c r="I1046" s="44"/>
      <c r="J1046" s="44"/>
      <c r="K1046" s="44"/>
      <c r="L1046" s="44"/>
      <c r="M1046" s="44"/>
      <c r="N1046" s="37"/>
      <c r="O1046" s="38"/>
      <c r="P1046" s="34"/>
      <c r="Q1046" s="34"/>
      <c r="R1046" s="76"/>
      <c r="S1046" s="47"/>
      <c r="T1046" s="42"/>
      <c r="U1046" s="42"/>
      <c r="W1046" s="73"/>
      <c r="X1046"/>
      <c r="Y1046" s="69"/>
      <c r="Z1046"/>
      <c r="AA1046" s="33"/>
    </row>
    <row r="1047" spans="1:27" s="31" customFormat="1">
      <c r="A1047" s="34"/>
      <c r="B1047" s="76"/>
      <c r="C1047" s="76"/>
      <c r="D1047" s="44"/>
      <c r="E1047" s="44"/>
      <c r="F1047" s="44"/>
      <c r="G1047" s="44"/>
      <c r="H1047" s="44"/>
      <c r="I1047" s="44"/>
      <c r="J1047" s="44"/>
      <c r="K1047" s="44"/>
      <c r="L1047" s="44"/>
      <c r="M1047" s="44"/>
      <c r="N1047" s="37"/>
      <c r="O1047" s="38"/>
      <c r="P1047" s="34"/>
      <c r="Q1047" s="34"/>
      <c r="R1047" s="76"/>
      <c r="S1047" s="47"/>
      <c r="T1047" s="42"/>
      <c r="U1047" s="42"/>
      <c r="W1047" s="73"/>
      <c r="X1047"/>
      <c r="Y1047" s="69"/>
      <c r="Z1047"/>
      <c r="AA1047" s="33"/>
    </row>
    <row r="1048" spans="1:27" s="31" customFormat="1">
      <c r="A1048" s="34"/>
      <c r="B1048" s="76"/>
      <c r="C1048" s="76"/>
      <c r="D1048" s="44"/>
      <c r="E1048" s="44"/>
      <c r="F1048" s="44"/>
      <c r="G1048" s="44"/>
      <c r="H1048" s="44"/>
      <c r="I1048" s="44"/>
      <c r="J1048" s="44"/>
      <c r="K1048" s="44"/>
      <c r="L1048" s="44"/>
      <c r="M1048" s="44"/>
      <c r="N1048" s="37"/>
      <c r="O1048" s="38"/>
      <c r="P1048" s="34"/>
      <c r="Q1048" s="39"/>
      <c r="R1048" s="84"/>
      <c r="S1048" s="47"/>
      <c r="T1048" s="42"/>
      <c r="U1048" s="42"/>
      <c r="W1048" s="73"/>
      <c r="X1048"/>
      <c r="Y1048" s="69"/>
      <c r="Z1048"/>
      <c r="AA1048" s="33"/>
    </row>
    <row r="1049" spans="1:27" s="31" customFormat="1">
      <c r="A1049" s="34"/>
      <c r="B1049" s="76"/>
      <c r="C1049" s="76"/>
      <c r="D1049" s="44"/>
      <c r="E1049" s="44"/>
      <c r="F1049" s="44"/>
      <c r="G1049" s="44"/>
      <c r="H1049" s="44"/>
      <c r="I1049" s="44"/>
      <c r="J1049" s="44"/>
      <c r="K1049" s="44"/>
      <c r="L1049" s="44"/>
      <c r="M1049" s="44"/>
      <c r="N1049" s="37"/>
      <c r="O1049" s="38"/>
      <c r="P1049" s="34"/>
      <c r="Q1049" s="39"/>
      <c r="R1049" s="84"/>
      <c r="S1049" s="47"/>
      <c r="T1049" s="42"/>
      <c r="U1049" s="42"/>
      <c r="W1049" s="73"/>
      <c r="X1049"/>
      <c r="Y1049" s="69"/>
      <c r="Z1049"/>
      <c r="AA1049" s="33"/>
    </row>
    <row r="1050" spans="1:27" s="31" customFormat="1">
      <c r="A1050" s="34"/>
      <c r="B1050" s="76"/>
      <c r="C1050" s="76"/>
      <c r="D1050" s="44"/>
      <c r="E1050" s="44"/>
      <c r="F1050" s="44"/>
      <c r="G1050" s="44"/>
      <c r="H1050" s="44"/>
      <c r="I1050" s="44"/>
      <c r="J1050" s="44"/>
      <c r="K1050" s="44"/>
      <c r="L1050" s="44"/>
      <c r="M1050" s="44"/>
      <c r="N1050" s="37"/>
      <c r="O1050" s="38"/>
      <c r="P1050" s="34"/>
      <c r="Q1050" s="39"/>
      <c r="R1050" s="84"/>
      <c r="S1050" s="47"/>
      <c r="T1050" s="42"/>
      <c r="U1050" s="42"/>
      <c r="W1050" s="73"/>
      <c r="X1050"/>
      <c r="Y1050" s="69"/>
      <c r="Z1050"/>
      <c r="AA1050" s="33"/>
    </row>
    <row r="1051" spans="1:27" s="31" customFormat="1">
      <c r="A1051" s="34"/>
      <c r="B1051" s="76"/>
      <c r="C1051" s="76"/>
      <c r="D1051" s="44"/>
      <c r="E1051" s="44"/>
      <c r="F1051" s="44"/>
      <c r="G1051" s="44"/>
      <c r="H1051" s="44"/>
      <c r="I1051" s="44"/>
      <c r="J1051" s="44"/>
      <c r="K1051" s="44"/>
      <c r="L1051" s="44"/>
      <c r="M1051" s="44"/>
      <c r="N1051" s="37"/>
      <c r="O1051" s="38"/>
      <c r="P1051" s="34"/>
      <c r="Q1051" s="39"/>
      <c r="R1051" s="84"/>
      <c r="S1051" s="47"/>
      <c r="T1051" s="42"/>
      <c r="U1051" s="42"/>
      <c r="W1051" s="73"/>
      <c r="X1051"/>
      <c r="Y1051" s="69"/>
      <c r="Z1051"/>
      <c r="AA1051" s="33"/>
    </row>
    <row r="1052" spans="1:27" s="31" customFormat="1">
      <c r="A1052" s="34"/>
      <c r="B1052" s="76"/>
      <c r="C1052" s="76"/>
      <c r="D1052" s="44"/>
      <c r="E1052" s="44"/>
      <c r="F1052" s="44"/>
      <c r="G1052" s="44"/>
      <c r="H1052" s="44"/>
      <c r="I1052" s="44"/>
      <c r="J1052" s="44"/>
      <c r="K1052" s="44"/>
      <c r="L1052" s="44"/>
      <c r="M1052" s="44"/>
      <c r="N1052" s="37"/>
      <c r="O1052" s="38"/>
      <c r="P1052" s="34"/>
      <c r="Q1052" s="39"/>
      <c r="R1052" s="84"/>
      <c r="S1052" s="47"/>
      <c r="T1052" s="42"/>
      <c r="U1052" s="42"/>
      <c r="W1052" s="73"/>
      <c r="X1052"/>
      <c r="Y1052" s="69"/>
      <c r="Z1052"/>
      <c r="AA1052" s="33"/>
    </row>
    <row r="1053" spans="1:27" s="31" customFormat="1">
      <c r="A1053" s="34"/>
      <c r="B1053" s="76"/>
      <c r="C1053" s="76"/>
      <c r="D1053" s="44"/>
      <c r="E1053" s="44"/>
      <c r="F1053" s="44"/>
      <c r="G1053" s="44"/>
      <c r="H1053" s="44"/>
      <c r="I1053" s="44"/>
      <c r="J1053" s="44"/>
      <c r="K1053" s="44"/>
      <c r="L1053" s="44"/>
      <c r="M1053" s="44"/>
      <c r="N1053" s="37"/>
      <c r="O1053" s="38"/>
      <c r="P1053" s="34"/>
      <c r="Q1053" s="39"/>
      <c r="R1053" s="84"/>
      <c r="S1053" s="47"/>
      <c r="T1053" s="42"/>
      <c r="U1053" s="42"/>
      <c r="W1053" s="73"/>
      <c r="X1053"/>
      <c r="Y1053" s="69"/>
      <c r="Z1053"/>
      <c r="AA1053" s="33"/>
    </row>
    <row r="1054" spans="1:27" s="31" customFormat="1">
      <c r="A1054" s="34"/>
      <c r="B1054" s="76"/>
      <c r="C1054" s="76"/>
      <c r="D1054" s="44"/>
      <c r="E1054" s="44"/>
      <c r="F1054" s="44"/>
      <c r="G1054" s="44"/>
      <c r="H1054" s="44"/>
      <c r="I1054" s="44"/>
      <c r="J1054" s="44"/>
      <c r="K1054" s="44"/>
      <c r="L1054" s="44"/>
      <c r="M1054" s="44"/>
      <c r="N1054" s="37"/>
      <c r="O1054" s="38"/>
      <c r="P1054" s="34"/>
      <c r="Q1054" s="39"/>
      <c r="R1054" s="84"/>
      <c r="S1054" s="47"/>
      <c r="T1054" s="42"/>
      <c r="U1054" s="42"/>
      <c r="W1054" s="73"/>
      <c r="X1054"/>
      <c r="Y1054" s="69"/>
      <c r="Z1054"/>
      <c r="AA1054" s="33"/>
    </row>
    <row r="1055" spans="1:27" s="31" customFormat="1">
      <c r="A1055" s="34"/>
      <c r="B1055" s="76"/>
      <c r="C1055" s="76"/>
      <c r="D1055" s="44"/>
      <c r="E1055" s="44"/>
      <c r="F1055" s="44"/>
      <c r="G1055" s="44"/>
      <c r="H1055" s="44"/>
      <c r="I1055" s="44"/>
      <c r="J1055" s="44"/>
      <c r="K1055" s="44"/>
      <c r="L1055" s="44"/>
      <c r="M1055" s="44"/>
      <c r="N1055" s="37"/>
      <c r="O1055" s="38"/>
      <c r="P1055" s="34"/>
      <c r="Q1055" s="39"/>
      <c r="R1055" s="84"/>
      <c r="S1055" s="47"/>
      <c r="T1055" s="42"/>
      <c r="U1055" s="42"/>
      <c r="W1055" s="73"/>
      <c r="X1055"/>
      <c r="Y1055" s="69"/>
      <c r="Z1055"/>
      <c r="AA1055" s="33"/>
    </row>
    <row r="1056" spans="1:27" s="31" customFormat="1">
      <c r="A1056" s="34"/>
      <c r="B1056" s="76"/>
      <c r="C1056" s="76"/>
      <c r="D1056" s="44"/>
      <c r="E1056" s="44"/>
      <c r="F1056" s="44"/>
      <c r="G1056" s="44"/>
      <c r="H1056" s="44"/>
      <c r="I1056" s="44"/>
      <c r="J1056" s="44"/>
      <c r="K1056" s="44"/>
      <c r="L1056" s="44"/>
      <c r="M1056" s="44"/>
      <c r="N1056" s="37"/>
      <c r="O1056" s="38"/>
      <c r="P1056" s="34"/>
      <c r="Q1056" s="39"/>
      <c r="R1056" s="84"/>
      <c r="S1056" s="47"/>
      <c r="T1056" s="42"/>
      <c r="U1056" s="42"/>
      <c r="W1056" s="73"/>
      <c r="X1056"/>
      <c r="Y1056" s="69"/>
      <c r="Z1056"/>
      <c r="AA1056" s="33"/>
    </row>
    <row r="1057" spans="1:27" s="31" customFormat="1">
      <c r="A1057" s="34"/>
      <c r="B1057" s="76"/>
      <c r="C1057" s="76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37"/>
      <c r="O1057" s="38"/>
      <c r="P1057" s="34"/>
      <c r="Q1057" s="39"/>
      <c r="R1057" s="84"/>
      <c r="S1057" s="47"/>
      <c r="T1057" s="42"/>
      <c r="U1057" s="42"/>
      <c r="W1057" s="73"/>
      <c r="X1057"/>
      <c r="Y1057" s="69"/>
      <c r="Z1057"/>
      <c r="AA1057" s="33"/>
    </row>
    <row r="1058" spans="1:27" s="31" customFormat="1">
      <c r="A1058" s="34"/>
      <c r="B1058" s="76"/>
      <c r="C1058" s="76"/>
      <c r="D1058" s="44"/>
      <c r="E1058" s="44"/>
      <c r="F1058" s="44"/>
      <c r="G1058" s="44"/>
      <c r="H1058" s="44"/>
      <c r="I1058" s="44"/>
      <c r="J1058" s="44"/>
      <c r="K1058" s="44"/>
      <c r="L1058" s="44"/>
      <c r="M1058" s="44"/>
      <c r="N1058" s="37"/>
      <c r="O1058" s="38"/>
      <c r="P1058" s="34"/>
      <c r="Q1058" s="39"/>
      <c r="R1058" s="84"/>
      <c r="S1058" s="47"/>
      <c r="T1058" s="42"/>
      <c r="U1058" s="42"/>
      <c r="W1058" s="73"/>
      <c r="X1058"/>
      <c r="Y1058" s="69"/>
      <c r="Z1058"/>
      <c r="AA1058" s="33"/>
    </row>
    <row r="1059" spans="1:27" s="31" customFormat="1">
      <c r="A1059" s="34"/>
      <c r="B1059" s="76"/>
      <c r="C1059" s="76"/>
      <c r="D1059" s="44"/>
      <c r="E1059" s="44"/>
      <c r="F1059" s="44"/>
      <c r="G1059" s="44"/>
      <c r="H1059" s="44"/>
      <c r="I1059" s="44"/>
      <c r="J1059" s="44"/>
      <c r="K1059" s="44"/>
      <c r="L1059" s="44"/>
      <c r="M1059" s="44"/>
      <c r="N1059" s="37"/>
      <c r="O1059" s="38"/>
      <c r="P1059" s="34"/>
      <c r="Q1059" s="39"/>
      <c r="R1059" s="84"/>
      <c r="S1059" s="47"/>
      <c r="T1059" s="42"/>
      <c r="U1059" s="42"/>
      <c r="W1059" s="73"/>
      <c r="X1059"/>
      <c r="Y1059" s="69"/>
      <c r="Z1059"/>
      <c r="AA1059" s="33"/>
    </row>
    <row r="1060" spans="1:27" s="31" customFormat="1">
      <c r="A1060" s="34"/>
      <c r="B1060" s="76"/>
      <c r="C1060" s="76"/>
      <c r="D1060" s="44"/>
      <c r="E1060" s="44"/>
      <c r="F1060" s="44"/>
      <c r="G1060" s="44"/>
      <c r="H1060" s="44"/>
      <c r="I1060" s="44"/>
      <c r="J1060" s="44"/>
      <c r="K1060" s="44"/>
      <c r="L1060" s="44"/>
      <c r="M1060" s="44"/>
      <c r="N1060" s="37"/>
      <c r="O1060" s="38"/>
      <c r="P1060" s="34"/>
      <c r="Q1060" s="39"/>
      <c r="R1060" s="84"/>
      <c r="S1060" s="47"/>
      <c r="T1060" s="42"/>
      <c r="U1060" s="42"/>
      <c r="W1060" s="73"/>
      <c r="X1060"/>
      <c r="Y1060" s="69"/>
      <c r="Z1060"/>
      <c r="AA1060" s="33"/>
    </row>
    <row r="1061" spans="1:27" s="31" customFormat="1">
      <c r="A1061" s="34"/>
      <c r="B1061" s="76"/>
      <c r="C1061" s="76"/>
      <c r="D1061" s="44"/>
      <c r="E1061" s="44"/>
      <c r="F1061" s="44"/>
      <c r="G1061" s="44"/>
      <c r="H1061" s="44"/>
      <c r="I1061" s="44"/>
      <c r="J1061" s="44"/>
      <c r="K1061" s="44"/>
      <c r="L1061" s="44"/>
      <c r="M1061" s="44"/>
      <c r="N1061" s="37"/>
      <c r="O1061" s="38"/>
      <c r="P1061" s="34"/>
      <c r="Q1061" s="39"/>
      <c r="R1061" s="84"/>
      <c r="S1061" s="47"/>
      <c r="T1061" s="42"/>
      <c r="U1061" s="42"/>
      <c r="W1061" s="73"/>
      <c r="X1061"/>
      <c r="Y1061" s="69"/>
      <c r="Z1061"/>
      <c r="AA1061" s="33"/>
    </row>
    <row r="1062" spans="1:27" s="31" customFormat="1">
      <c r="A1062" s="34"/>
      <c r="B1062" s="76"/>
      <c r="C1062" s="76"/>
      <c r="D1062" s="44"/>
      <c r="E1062" s="44"/>
      <c r="F1062" s="44"/>
      <c r="G1062" s="44"/>
      <c r="H1062" s="44"/>
      <c r="I1062" s="44"/>
      <c r="J1062" s="44"/>
      <c r="K1062" s="44"/>
      <c r="L1062" s="44"/>
      <c r="M1062" s="44"/>
      <c r="N1062" s="37"/>
      <c r="O1062" s="38"/>
      <c r="P1062" s="34"/>
      <c r="Q1062" s="39"/>
      <c r="R1062" s="84"/>
      <c r="S1062" s="47"/>
      <c r="T1062" s="42"/>
      <c r="U1062" s="42"/>
      <c r="W1062" s="73"/>
      <c r="X1062"/>
      <c r="Y1062" s="69"/>
      <c r="Z1062"/>
      <c r="AA1062" s="33"/>
    </row>
    <row r="1063" spans="1:27" s="31" customFormat="1">
      <c r="A1063" s="34"/>
      <c r="B1063" s="76"/>
      <c r="C1063" s="76"/>
      <c r="D1063" s="44"/>
      <c r="E1063" s="44"/>
      <c r="F1063" s="44"/>
      <c r="G1063" s="44"/>
      <c r="H1063" s="44"/>
      <c r="I1063" s="44"/>
      <c r="J1063" s="44"/>
      <c r="K1063" s="44"/>
      <c r="L1063" s="44"/>
      <c r="M1063" s="44"/>
      <c r="N1063" s="37"/>
      <c r="O1063" s="38"/>
      <c r="P1063" s="34"/>
      <c r="Q1063" s="39"/>
      <c r="R1063" s="84"/>
      <c r="S1063" s="47"/>
      <c r="T1063" s="42"/>
      <c r="U1063" s="42"/>
      <c r="W1063" s="73"/>
      <c r="X1063"/>
      <c r="Y1063" s="69"/>
      <c r="Z1063"/>
      <c r="AA1063" s="33"/>
    </row>
    <row r="1064" spans="1:27" s="31" customFormat="1">
      <c r="A1064" s="34"/>
      <c r="B1064" s="76"/>
      <c r="C1064" s="76"/>
      <c r="D1064" s="44"/>
      <c r="E1064" s="44"/>
      <c r="F1064" s="44"/>
      <c r="G1064" s="44"/>
      <c r="H1064" s="44"/>
      <c r="I1064" s="44"/>
      <c r="J1064" s="44"/>
      <c r="K1064" s="44"/>
      <c r="L1064" s="44"/>
      <c r="M1064" s="44"/>
      <c r="N1064" s="37"/>
      <c r="O1064" s="38"/>
      <c r="P1064" s="34"/>
      <c r="Q1064" s="34"/>
      <c r="R1064" s="76"/>
      <c r="S1064" s="47"/>
      <c r="T1064" s="42"/>
      <c r="U1064" s="42"/>
      <c r="W1064" s="73"/>
      <c r="X1064"/>
      <c r="Y1064" s="69"/>
      <c r="Z1064"/>
      <c r="AA1064" s="33"/>
    </row>
    <row r="1065" spans="1:27" s="31" customFormat="1">
      <c r="A1065" s="34"/>
      <c r="B1065" s="76"/>
      <c r="C1065" s="76"/>
      <c r="D1065" s="44"/>
      <c r="E1065" s="44"/>
      <c r="F1065" s="44"/>
      <c r="G1065" s="44"/>
      <c r="H1065" s="44"/>
      <c r="I1065" s="44"/>
      <c r="J1065" s="44"/>
      <c r="K1065" s="44"/>
      <c r="L1065" s="44"/>
      <c r="M1065" s="44"/>
      <c r="N1065" s="37"/>
      <c r="O1065" s="38"/>
      <c r="P1065" s="34"/>
      <c r="Q1065" s="34"/>
      <c r="R1065" s="76"/>
      <c r="S1065" s="47"/>
      <c r="T1065" s="42"/>
      <c r="U1065" s="42"/>
      <c r="W1065" s="73"/>
      <c r="X1065"/>
      <c r="Y1065" s="69"/>
      <c r="Z1065"/>
      <c r="AA1065" s="33"/>
    </row>
    <row r="1066" spans="1:27" s="31" customFormat="1">
      <c r="A1066" s="34"/>
      <c r="B1066" s="76"/>
      <c r="C1066" s="76"/>
      <c r="D1066" s="44"/>
      <c r="E1066" s="44"/>
      <c r="F1066" s="44"/>
      <c r="G1066" s="44"/>
      <c r="H1066" s="44"/>
      <c r="I1066" s="44"/>
      <c r="J1066" s="44"/>
      <c r="K1066" s="44"/>
      <c r="L1066" s="44"/>
      <c r="M1066" s="44"/>
      <c r="N1066" s="37"/>
      <c r="O1066" s="38"/>
      <c r="P1066" s="34"/>
      <c r="Q1066" s="34"/>
      <c r="R1066" s="76"/>
      <c r="S1066" s="47"/>
      <c r="T1066" s="42"/>
      <c r="U1066" s="42"/>
      <c r="W1066" s="73"/>
      <c r="X1066"/>
      <c r="Y1066" s="69"/>
      <c r="Z1066"/>
      <c r="AA1066" s="33"/>
    </row>
    <row r="1067" spans="1:27" s="31" customFormat="1">
      <c r="A1067" s="34"/>
      <c r="B1067" s="76"/>
      <c r="C1067" s="76"/>
      <c r="D1067" s="44"/>
      <c r="E1067" s="44"/>
      <c r="F1067" s="44"/>
      <c r="G1067" s="44"/>
      <c r="H1067" s="44"/>
      <c r="I1067" s="44"/>
      <c r="J1067" s="44"/>
      <c r="K1067" s="44"/>
      <c r="L1067" s="44"/>
      <c r="M1067" s="44"/>
      <c r="N1067" s="37"/>
      <c r="O1067" s="38"/>
      <c r="P1067" s="34"/>
      <c r="Q1067" s="34"/>
      <c r="R1067" s="76"/>
      <c r="S1067" s="47"/>
      <c r="T1067" s="42"/>
      <c r="U1067" s="42"/>
      <c r="W1067" s="73"/>
      <c r="X1067"/>
      <c r="Y1067" s="69"/>
      <c r="Z1067"/>
      <c r="AA1067" s="33"/>
    </row>
    <row r="1068" spans="1:27" s="31" customFormat="1">
      <c r="A1068" s="34"/>
      <c r="B1068" s="76"/>
      <c r="C1068" s="76"/>
      <c r="D1068" s="44"/>
      <c r="E1068" s="44"/>
      <c r="F1068" s="44"/>
      <c r="G1068" s="44"/>
      <c r="H1068" s="44"/>
      <c r="I1068" s="44"/>
      <c r="J1068" s="44"/>
      <c r="K1068" s="44"/>
      <c r="L1068" s="44"/>
      <c r="M1068" s="44"/>
      <c r="N1068" s="37"/>
      <c r="O1068" s="38"/>
      <c r="P1068" s="34"/>
      <c r="Q1068" s="34"/>
      <c r="R1068" s="76"/>
      <c r="S1068" s="47"/>
      <c r="T1068" s="42"/>
      <c r="U1068" s="42"/>
      <c r="W1068" s="73"/>
      <c r="X1068"/>
      <c r="Y1068" s="69"/>
      <c r="Z1068"/>
      <c r="AA1068" s="33"/>
    </row>
    <row r="1069" spans="1:27" s="31" customFormat="1">
      <c r="A1069" s="34"/>
      <c r="B1069" s="76"/>
      <c r="C1069" s="76"/>
      <c r="D1069" s="44"/>
      <c r="E1069" s="44"/>
      <c r="F1069" s="44"/>
      <c r="G1069" s="44"/>
      <c r="H1069" s="44"/>
      <c r="I1069" s="44"/>
      <c r="J1069" s="44"/>
      <c r="K1069" s="44"/>
      <c r="L1069" s="44"/>
      <c r="M1069" s="44"/>
      <c r="N1069" s="37"/>
      <c r="O1069" s="38"/>
      <c r="P1069" s="34"/>
      <c r="Q1069" s="34"/>
      <c r="R1069" s="76"/>
      <c r="S1069" s="47"/>
      <c r="T1069" s="42"/>
      <c r="U1069" s="42"/>
      <c r="W1069" s="73"/>
      <c r="X1069"/>
      <c r="Y1069" s="69"/>
      <c r="Z1069"/>
      <c r="AA1069" s="33"/>
    </row>
    <row r="1070" spans="1:27" s="31" customFormat="1">
      <c r="A1070" s="34"/>
      <c r="B1070" s="76"/>
      <c r="C1070" s="76"/>
      <c r="D1070" s="44"/>
      <c r="E1070" s="44"/>
      <c r="F1070" s="44"/>
      <c r="G1070" s="44"/>
      <c r="H1070" s="44"/>
      <c r="I1070" s="44"/>
      <c r="J1070" s="44"/>
      <c r="K1070" s="44"/>
      <c r="L1070" s="44"/>
      <c r="M1070" s="44"/>
      <c r="N1070" s="37"/>
      <c r="O1070" s="38"/>
      <c r="P1070" s="34"/>
      <c r="Q1070" s="34"/>
      <c r="R1070" s="76"/>
      <c r="S1070" s="47"/>
      <c r="T1070" s="42"/>
      <c r="U1070" s="42"/>
      <c r="W1070" s="73"/>
      <c r="X1070"/>
      <c r="Y1070" s="69"/>
      <c r="Z1070"/>
      <c r="AA1070" s="33"/>
    </row>
    <row r="1071" spans="1:27" s="31" customFormat="1">
      <c r="A1071" s="34"/>
      <c r="B1071" s="76"/>
      <c r="C1071" s="76"/>
      <c r="D1071" s="44"/>
      <c r="E1071" s="44"/>
      <c r="F1071" s="44"/>
      <c r="G1071" s="44"/>
      <c r="H1071" s="44"/>
      <c r="I1071" s="44"/>
      <c r="J1071" s="44"/>
      <c r="K1071" s="44"/>
      <c r="L1071" s="44"/>
      <c r="M1071" s="44"/>
      <c r="N1071" s="37"/>
      <c r="O1071" s="38"/>
      <c r="P1071" s="34"/>
      <c r="Q1071" s="34"/>
      <c r="R1071" s="76"/>
      <c r="S1071" s="47"/>
      <c r="T1071" s="42"/>
      <c r="U1071" s="51"/>
      <c r="W1071" s="73"/>
      <c r="X1071"/>
      <c r="Y1071" s="69"/>
      <c r="Z1071"/>
      <c r="AA1071" s="33"/>
    </row>
    <row r="1072" spans="1:27" s="31" customFormat="1">
      <c r="A1072" s="34"/>
      <c r="B1072" s="76"/>
      <c r="C1072" s="76"/>
      <c r="D1072" s="44"/>
      <c r="E1072" s="44"/>
      <c r="F1072" s="44"/>
      <c r="G1072" s="44"/>
      <c r="H1072" s="44"/>
      <c r="I1072" s="44"/>
      <c r="J1072" s="44"/>
      <c r="K1072" s="44"/>
      <c r="L1072" s="44"/>
      <c r="M1072" s="44"/>
      <c r="N1072" s="37"/>
      <c r="O1072" s="38"/>
      <c r="P1072" s="34"/>
      <c r="Q1072" s="34"/>
      <c r="R1072" s="76"/>
      <c r="S1072" s="47"/>
      <c r="T1072" s="42"/>
      <c r="U1072" s="147"/>
      <c r="W1072" s="73"/>
      <c r="X1072"/>
      <c r="Y1072" s="69"/>
      <c r="Z1072"/>
      <c r="AA1072" s="33"/>
    </row>
    <row r="1073" spans="1:27" s="31" customFormat="1">
      <c r="A1073" s="34"/>
      <c r="B1073" s="76"/>
      <c r="C1073" s="76"/>
      <c r="D1073" s="44"/>
      <c r="E1073" s="44"/>
      <c r="F1073" s="44"/>
      <c r="G1073" s="44"/>
      <c r="H1073" s="44"/>
      <c r="I1073" s="44"/>
      <c r="J1073" s="44"/>
      <c r="K1073" s="44"/>
      <c r="L1073" s="44"/>
      <c r="M1073" s="44"/>
      <c r="N1073" s="37"/>
      <c r="O1073" s="38"/>
      <c r="P1073" s="34"/>
      <c r="Q1073" s="34"/>
      <c r="R1073" s="76"/>
      <c r="S1073" s="47"/>
      <c r="T1073" s="42"/>
      <c r="U1073" s="147"/>
      <c r="W1073" s="73"/>
      <c r="X1073"/>
      <c r="Y1073" s="69"/>
      <c r="Z1073"/>
      <c r="AA1073" s="33"/>
    </row>
    <row r="1074" spans="1:27" s="31" customFormat="1">
      <c r="A1074" s="34"/>
      <c r="B1074" s="76"/>
      <c r="C1074" s="76"/>
      <c r="D1074" s="44"/>
      <c r="E1074" s="44"/>
      <c r="F1074" s="44"/>
      <c r="G1074" s="44"/>
      <c r="H1074" s="44"/>
      <c r="I1074" s="44"/>
      <c r="J1074" s="44"/>
      <c r="K1074" s="44"/>
      <c r="L1074" s="44"/>
      <c r="M1074" s="44"/>
      <c r="N1074" s="37"/>
      <c r="O1074" s="38"/>
      <c r="P1074" s="34"/>
      <c r="Q1074" s="34"/>
      <c r="R1074" s="76"/>
      <c r="S1074" s="47"/>
      <c r="T1074" s="42"/>
      <c r="U1074" s="147"/>
      <c r="W1074" s="73"/>
      <c r="X1074"/>
      <c r="Y1074" s="69"/>
      <c r="Z1074"/>
      <c r="AA1074" s="33"/>
    </row>
    <row r="1075" spans="1:27" s="31" customFormat="1">
      <c r="A1075" s="34"/>
      <c r="B1075" s="76"/>
      <c r="C1075" s="76"/>
      <c r="D1075" s="44"/>
      <c r="E1075" s="44"/>
      <c r="F1075" s="44"/>
      <c r="G1075" s="44"/>
      <c r="H1075" s="44"/>
      <c r="I1075" s="44"/>
      <c r="J1075" s="44"/>
      <c r="K1075" s="44"/>
      <c r="L1075" s="44"/>
      <c r="M1075" s="44"/>
      <c r="N1075" s="37"/>
      <c r="O1075" s="38"/>
      <c r="P1075" s="34"/>
      <c r="Q1075" s="34"/>
      <c r="R1075" s="76"/>
      <c r="S1075" s="47"/>
      <c r="T1075" s="42"/>
      <c r="U1075" s="147"/>
      <c r="W1075" s="73"/>
      <c r="X1075"/>
      <c r="Y1075" s="69"/>
      <c r="Z1075"/>
      <c r="AA1075" s="33"/>
    </row>
    <row r="1076" spans="1:27" s="31" customFormat="1">
      <c r="A1076" s="34"/>
      <c r="B1076" s="76"/>
      <c r="C1076" s="76"/>
      <c r="D1076" s="44"/>
      <c r="E1076" s="44"/>
      <c r="F1076" s="44"/>
      <c r="G1076" s="44"/>
      <c r="H1076" s="44"/>
      <c r="I1076" s="44"/>
      <c r="J1076" s="44"/>
      <c r="K1076" s="44"/>
      <c r="L1076" s="44"/>
      <c r="M1076" s="44"/>
      <c r="N1076" s="37"/>
      <c r="O1076" s="38"/>
      <c r="P1076" s="34"/>
      <c r="Q1076" s="34"/>
      <c r="R1076" s="76"/>
      <c r="S1076" s="47"/>
      <c r="T1076" s="42"/>
      <c r="U1076" s="147"/>
      <c r="W1076" s="73"/>
      <c r="X1076"/>
      <c r="Y1076" s="69"/>
      <c r="Z1076"/>
      <c r="AA1076" s="33"/>
    </row>
    <row r="1077" spans="1:27" s="31" customFormat="1">
      <c r="A1077" s="34"/>
      <c r="B1077" s="76"/>
      <c r="C1077" s="76"/>
      <c r="D1077" s="44"/>
      <c r="E1077" s="44"/>
      <c r="F1077" s="44"/>
      <c r="G1077" s="44"/>
      <c r="H1077" s="44"/>
      <c r="I1077" s="44"/>
      <c r="J1077" s="44"/>
      <c r="K1077" s="44"/>
      <c r="L1077" s="44"/>
      <c r="M1077" s="44"/>
      <c r="N1077" s="37"/>
      <c r="O1077" s="38"/>
      <c r="P1077" s="34"/>
      <c r="Q1077" s="34"/>
      <c r="R1077" s="76"/>
      <c r="S1077" s="47"/>
      <c r="T1077" s="42"/>
      <c r="U1077" s="147"/>
      <c r="W1077" s="73"/>
      <c r="X1077"/>
      <c r="Y1077" s="69"/>
      <c r="Z1077"/>
      <c r="AA1077" s="33"/>
    </row>
    <row r="1078" spans="1:27" s="31" customFormat="1">
      <c r="A1078" s="34"/>
      <c r="B1078" s="76"/>
      <c r="C1078" s="76"/>
      <c r="D1078" s="44"/>
      <c r="E1078" s="44"/>
      <c r="F1078" s="44"/>
      <c r="G1078" s="44"/>
      <c r="H1078" s="44"/>
      <c r="I1078" s="44"/>
      <c r="J1078" s="44"/>
      <c r="K1078" s="44"/>
      <c r="L1078" s="44"/>
      <c r="M1078" s="44"/>
      <c r="N1078" s="37"/>
      <c r="O1078" s="38"/>
      <c r="P1078" s="34"/>
      <c r="Q1078" s="34"/>
      <c r="R1078" s="76"/>
      <c r="S1078" s="47"/>
      <c r="T1078" s="42"/>
      <c r="U1078" s="147"/>
      <c r="W1078" s="73"/>
      <c r="X1078"/>
      <c r="Y1078" s="69"/>
      <c r="Z1078"/>
      <c r="AA1078" s="33"/>
    </row>
    <row r="1079" spans="1:27" s="31" customFormat="1">
      <c r="A1079" s="34"/>
      <c r="B1079" s="76"/>
      <c r="C1079" s="76"/>
      <c r="D1079" s="44"/>
      <c r="E1079" s="44"/>
      <c r="F1079" s="44"/>
      <c r="G1079" s="44"/>
      <c r="H1079" s="44"/>
      <c r="I1079" s="44"/>
      <c r="J1079" s="44"/>
      <c r="K1079" s="44"/>
      <c r="L1079" s="44"/>
      <c r="M1079" s="44"/>
      <c r="N1079" s="37"/>
      <c r="O1079" s="38"/>
      <c r="P1079" s="34"/>
      <c r="Q1079" s="34"/>
      <c r="R1079" s="76"/>
      <c r="S1079" s="47"/>
      <c r="T1079" s="42"/>
      <c r="U1079" s="147"/>
      <c r="W1079" s="73"/>
      <c r="X1079"/>
      <c r="Y1079" s="69"/>
      <c r="Z1079"/>
      <c r="AA1079" s="33"/>
    </row>
    <row r="1080" spans="1:27" s="31" customFormat="1">
      <c r="A1080" s="34"/>
      <c r="B1080" s="76"/>
      <c r="C1080" s="76"/>
      <c r="D1080" s="44"/>
      <c r="E1080" s="44"/>
      <c r="F1080" s="44"/>
      <c r="G1080" s="44"/>
      <c r="H1080" s="44"/>
      <c r="I1080" s="44"/>
      <c r="J1080" s="44"/>
      <c r="K1080" s="44"/>
      <c r="L1080" s="44"/>
      <c r="M1080" s="44"/>
      <c r="N1080" s="37"/>
      <c r="O1080" s="38"/>
      <c r="P1080" s="34"/>
      <c r="Q1080" s="34"/>
      <c r="R1080" s="76"/>
      <c r="S1080" s="47"/>
      <c r="T1080" s="42"/>
      <c r="U1080" s="147"/>
      <c r="W1080" s="73"/>
      <c r="X1080"/>
      <c r="Y1080" s="69"/>
      <c r="Z1080"/>
      <c r="AA1080" s="33"/>
    </row>
    <row r="1081" spans="1:27" s="31" customFormat="1">
      <c r="A1081" s="34"/>
      <c r="B1081" s="76"/>
      <c r="C1081" s="76"/>
      <c r="D1081" s="44"/>
      <c r="E1081" s="44"/>
      <c r="F1081" s="44"/>
      <c r="G1081" s="44"/>
      <c r="H1081" s="44"/>
      <c r="I1081" s="44"/>
      <c r="J1081" s="44"/>
      <c r="K1081" s="44"/>
      <c r="L1081" s="44"/>
      <c r="M1081" s="44"/>
      <c r="N1081" s="37"/>
      <c r="O1081" s="38"/>
      <c r="P1081" s="34"/>
      <c r="Q1081" s="34"/>
      <c r="R1081" s="76"/>
      <c r="S1081" s="47"/>
      <c r="T1081" s="42"/>
      <c r="U1081" s="147"/>
      <c r="W1081" s="73"/>
      <c r="X1081"/>
      <c r="Y1081" s="69"/>
      <c r="Z1081"/>
      <c r="AA1081" s="33"/>
    </row>
    <row r="1082" spans="1:27" s="31" customFormat="1">
      <c r="A1082" s="34"/>
      <c r="B1082" s="76"/>
      <c r="C1082" s="76"/>
      <c r="D1082" s="44"/>
      <c r="E1082" s="44"/>
      <c r="F1082" s="44"/>
      <c r="G1082" s="44"/>
      <c r="H1082" s="44"/>
      <c r="I1082" s="44"/>
      <c r="J1082" s="44"/>
      <c r="K1082" s="44"/>
      <c r="L1082" s="44"/>
      <c r="M1082" s="44"/>
      <c r="N1082" s="37"/>
      <c r="O1082" s="38"/>
      <c r="P1082" s="34"/>
      <c r="Q1082" s="34"/>
      <c r="R1082" s="76"/>
      <c r="S1082" s="47"/>
      <c r="T1082" s="42"/>
      <c r="U1082" s="147"/>
      <c r="W1082" s="73"/>
      <c r="X1082"/>
      <c r="Y1082" s="69"/>
      <c r="Z1082"/>
      <c r="AA1082" s="33"/>
    </row>
    <row r="1083" spans="1:27" s="31" customFormat="1">
      <c r="A1083" s="34"/>
      <c r="B1083" s="76"/>
      <c r="C1083" s="76"/>
      <c r="D1083" s="44"/>
      <c r="E1083" s="44"/>
      <c r="F1083" s="44"/>
      <c r="G1083" s="44"/>
      <c r="H1083" s="44"/>
      <c r="I1083" s="44"/>
      <c r="J1083" s="44"/>
      <c r="K1083" s="44"/>
      <c r="L1083" s="44"/>
      <c r="M1083" s="44"/>
      <c r="N1083" s="37"/>
      <c r="O1083" s="38"/>
      <c r="P1083" s="34"/>
      <c r="Q1083" s="34"/>
      <c r="R1083" s="76"/>
      <c r="S1083" s="47"/>
      <c r="T1083" s="42"/>
      <c r="U1083" s="147"/>
      <c r="W1083" s="73"/>
      <c r="X1083"/>
      <c r="Y1083" s="69"/>
      <c r="Z1083"/>
      <c r="AA1083" s="33"/>
    </row>
    <row r="1084" spans="1:27" s="31" customFormat="1">
      <c r="A1084" s="34"/>
      <c r="B1084" s="76"/>
      <c r="C1084" s="76"/>
      <c r="D1084" s="44"/>
      <c r="E1084" s="44"/>
      <c r="F1084" s="44"/>
      <c r="G1084" s="44"/>
      <c r="H1084" s="44"/>
      <c r="I1084" s="44"/>
      <c r="J1084" s="44"/>
      <c r="K1084" s="44"/>
      <c r="L1084" s="44"/>
      <c r="M1084" s="44"/>
      <c r="N1084" s="37"/>
      <c r="O1084" s="38"/>
      <c r="P1084" s="34"/>
      <c r="Q1084" s="34"/>
      <c r="R1084" s="76"/>
      <c r="S1084" s="47"/>
      <c r="T1084" s="42"/>
      <c r="U1084" s="147"/>
      <c r="W1084" s="73"/>
      <c r="X1084"/>
      <c r="Y1084" s="69"/>
      <c r="Z1084"/>
      <c r="AA1084" s="33"/>
    </row>
    <row r="1085" spans="1:27" s="31" customFormat="1">
      <c r="A1085" s="34"/>
      <c r="B1085" s="76"/>
      <c r="C1085" s="76"/>
      <c r="D1085" s="44"/>
      <c r="E1085" s="44"/>
      <c r="F1085" s="44"/>
      <c r="G1085" s="44"/>
      <c r="H1085" s="44"/>
      <c r="I1085" s="44"/>
      <c r="J1085" s="44"/>
      <c r="K1085" s="44"/>
      <c r="L1085" s="44"/>
      <c r="M1085" s="44"/>
      <c r="N1085" s="37"/>
      <c r="O1085" s="38"/>
      <c r="P1085" s="34"/>
      <c r="Q1085" s="34"/>
      <c r="R1085" s="76"/>
      <c r="S1085" s="47"/>
      <c r="T1085" s="42"/>
      <c r="U1085" s="147"/>
      <c r="W1085" s="73"/>
      <c r="X1085"/>
      <c r="Y1085" s="69"/>
      <c r="Z1085"/>
      <c r="AA1085" s="33"/>
    </row>
    <row r="1086" spans="1:27" s="31" customFormat="1">
      <c r="A1086" s="34"/>
      <c r="B1086" s="76"/>
      <c r="C1086" s="76"/>
      <c r="D1086" s="44"/>
      <c r="E1086" s="44"/>
      <c r="F1086" s="44"/>
      <c r="G1086" s="44"/>
      <c r="H1086" s="44"/>
      <c r="I1086" s="44"/>
      <c r="J1086" s="44"/>
      <c r="K1086" s="44"/>
      <c r="L1086" s="44"/>
      <c r="M1086" s="44"/>
      <c r="N1086" s="37"/>
      <c r="O1086" s="38"/>
      <c r="P1086" s="34"/>
      <c r="Q1086" s="34"/>
      <c r="R1086" s="76"/>
      <c r="S1086" s="47"/>
      <c r="T1086" s="42"/>
      <c r="U1086" s="147"/>
      <c r="W1086" s="73"/>
      <c r="X1086"/>
      <c r="Y1086" s="69"/>
      <c r="Z1086"/>
      <c r="AA1086" s="33"/>
    </row>
    <row r="1087" spans="1:27" s="31" customFormat="1">
      <c r="A1087" s="34"/>
      <c r="B1087" s="76"/>
      <c r="C1087" s="76"/>
      <c r="D1087" s="44"/>
      <c r="E1087" s="44"/>
      <c r="F1087" s="44"/>
      <c r="G1087" s="44"/>
      <c r="H1087" s="44"/>
      <c r="I1087" s="44"/>
      <c r="J1087" s="44"/>
      <c r="K1087" s="44"/>
      <c r="L1087" s="44"/>
      <c r="M1087" s="44"/>
      <c r="N1087" s="37"/>
      <c r="O1087" s="38"/>
      <c r="P1087" s="34"/>
      <c r="Q1087" s="34"/>
      <c r="R1087" s="76"/>
      <c r="S1087" s="47"/>
      <c r="T1087" s="42"/>
      <c r="U1087" s="147"/>
      <c r="W1087" s="73"/>
      <c r="X1087"/>
      <c r="Y1087" s="69"/>
      <c r="Z1087"/>
      <c r="AA1087" s="33"/>
    </row>
    <row r="1088" spans="1:27" s="31" customFormat="1">
      <c r="A1088" s="34"/>
      <c r="B1088" s="76"/>
      <c r="C1088" s="76"/>
      <c r="D1088" s="44"/>
      <c r="E1088" s="44"/>
      <c r="F1088" s="44"/>
      <c r="G1088" s="44"/>
      <c r="H1088" s="44"/>
      <c r="I1088" s="44"/>
      <c r="J1088" s="44"/>
      <c r="K1088" s="44"/>
      <c r="L1088" s="44"/>
      <c r="M1088" s="44"/>
      <c r="N1088" s="37"/>
      <c r="O1088" s="38"/>
      <c r="P1088" s="34"/>
      <c r="Q1088" s="34"/>
      <c r="R1088" s="76"/>
      <c r="S1088" s="47"/>
      <c r="T1088" s="42"/>
      <c r="U1088" s="147"/>
      <c r="W1088" s="73"/>
      <c r="X1088"/>
      <c r="Y1088" s="69"/>
      <c r="Z1088"/>
      <c r="AA1088" s="33"/>
    </row>
    <row r="1089" spans="1:27" s="31" customFormat="1">
      <c r="A1089" s="34"/>
      <c r="B1089" s="76"/>
      <c r="C1089" s="76"/>
      <c r="D1089" s="44"/>
      <c r="E1089" s="44"/>
      <c r="F1089" s="44"/>
      <c r="G1089" s="44"/>
      <c r="H1089" s="44"/>
      <c r="I1089" s="44"/>
      <c r="J1089" s="44"/>
      <c r="K1089" s="44"/>
      <c r="L1089" s="44"/>
      <c r="M1089" s="44"/>
      <c r="N1089" s="37"/>
      <c r="O1089" s="38"/>
      <c r="P1089" s="34"/>
      <c r="Q1089" s="34"/>
      <c r="R1089" s="76"/>
      <c r="S1089" s="47"/>
      <c r="T1089" s="42"/>
      <c r="U1089" s="147"/>
      <c r="W1089" s="73"/>
      <c r="X1089"/>
      <c r="Y1089" s="69"/>
      <c r="Z1089"/>
      <c r="AA1089" s="33"/>
    </row>
    <row r="1090" spans="1:27" s="31" customFormat="1">
      <c r="A1090" s="34"/>
      <c r="B1090" s="76"/>
      <c r="C1090" s="76"/>
      <c r="D1090" s="44"/>
      <c r="E1090" s="44"/>
      <c r="F1090" s="44"/>
      <c r="G1090" s="44"/>
      <c r="H1090" s="44"/>
      <c r="I1090" s="44"/>
      <c r="J1090" s="44"/>
      <c r="K1090" s="44"/>
      <c r="L1090" s="44"/>
      <c r="M1090" s="44"/>
      <c r="N1090" s="37"/>
      <c r="O1090" s="38"/>
      <c r="P1090" s="34"/>
      <c r="Q1090" s="34"/>
      <c r="R1090" s="76"/>
      <c r="S1090" s="47"/>
      <c r="T1090" s="42"/>
      <c r="U1090" s="147"/>
      <c r="W1090" s="73"/>
      <c r="X1090"/>
      <c r="Y1090" s="69"/>
      <c r="Z1090"/>
      <c r="AA1090" s="33"/>
    </row>
    <row r="1091" spans="1:27" s="31" customFormat="1">
      <c r="A1091" s="34"/>
      <c r="B1091" s="76"/>
      <c r="C1091" s="76"/>
      <c r="D1091" s="44"/>
      <c r="E1091" s="44"/>
      <c r="F1091" s="44"/>
      <c r="G1091" s="44"/>
      <c r="H1091" s="44"/>
      <c r="I1091" s="44"/>
      <c r="J1091" s="44"/>
      <c r="K1091" s="44"/>
      <c r="L1091" s="44"/>
      <c r="M1091" s="44"/>
      <c r="N1091" s="37"/>
      <c r="O1091" s="38"/>
      <c r="P1091" s="34"/>
      <c r="Q1091" s="34"/>
      <c r="R1091" s="76"/>
      <c r="S1091" s="47"/>
      <c r="T1091" s="42"/>
      <c r="U1091" s="147"/>
      <c r="W1091" s="73"/>
      <c r="X1091"/>
      <c r="Y1091" s="69"/>
      <c r="Z1091"/>
      <c r="AA1091" s="33"/>
    </row>
    <row r="1092" spans="1:27" s="31" customFormat="1">
      <c r="A1092" s="34"/>
      <c r="B1092" s="76"/>
      <c r="C1092" s="76"/>
      <c r="D1092" s="44"/>
      <c r="E1092" s="44"/>
      <c r="F1092" s="44"/>
      <c r="G1092" s="44"/>
      <c r="H1092" s="44"/>
      <c r="I1092" s="44"/>
      <c r="J1092" s="44"/>
      <c r="K1092" s="44"/>
      <c r="L1092" s="44"/>
      <c r="M1092" s="44"/>
      <c r="N1092" s="37"/>
      <c r="O1092" s="38"/>
      <c r="P1092" s="34"/>
      <c r="Q1092" s="34"/>
      <c r="R1092" s="76"/>
      <c r="S1092" s="47"/>
      <c r="T1092" s="42"/>
      <c r="U1092" s="147"/>
      <c r="W1092" s="73"/>
      <c r="X1092"/>
      <c r="Y1092" s="69"/>
      <c r="Z1092"/>
      <c r="AA1092" s="33"/>
    </row>
    <row r="1093" spans="1:27" s="31" customFormat="1">
      <c r="A1093" s="34"/>
      <c r="B1093" s="76"/>
      <c r="C1093" s="76"/>
      <c r="D1093" s="44"/>
      <c r="E1093" s="44"/>
      <c r="F1093" s="44"/>
      <c r="G1093" s="44"/>
      <c r="H1093" s="44"/>
      <c r="I1093" s="44"/>
      <c r="J1093" s="44"/>
      <c r="K1093" s="44"/>
      <c r="L1093" s="44"/>
      <c r="M1093" s="44"/>
      <c r="N1093" s="37"/>
      <c r="O1093" s="38"/>
      <c r="P1093" s="34"/>
      <c r="Q1093" s="34"/>
      <c r="R1093" s="76"/>
      <c r="S1093" s="47"/>
      <c r="T1093" s="42"/>
      <c r="U1093" s="147"/>
      <c r="W1093" s="73"/>
      <c r="X1093"/>
      <c r="Y1093" s="69"/>
      <c r="Z1093"/>
      <c r="AA1093" s="33"/>
    </row>
    <row r="1094" spans="1:27" s="31" customFormat="1">
      <c r="A1094" s="34"/>
      <c r="B1094" s="76"/>
      <c r="C1094" s="76"/>
      <c r="D1094" s="44"/>
      <c r="E1094" s="44"/>
      <c r="F1094" s="44"/>
      <c r="G1094" s="44"/>
      <c r="H1094" s="44"/>
      <c r="I1094" s="44"/>
      <c r="J1094" s="44"/>
      <c r="K1094" s="44"/>
      <c r="L1094" s="44"/>
      <c r="M1094" s="44"/>
      <c r="N1094" s="37"/>
      <c r="O1094" s="38"/>
      <c r="P1094" s="34"/>
      <c r="Q1094" s="34"/>
      <c r="R1094" s="76"/>
      <c r="S1094" s="47"/>
      <c r="T1094" s="42"/>
      <c r="U1094" s="147"/>
      <c r="W1094" s="73"/>
      <c r="X1094"/>
      <c r="Y1094" s="69"/>
      <c r="Z1094"/>
      <c r="AA1094" s="33"/>
    </row>
    <row r="1095" spans="1:27" s="31" customFormat="1">
      <c r="A1095" s="34"/>
      <c r="B1095" s="76"/>
      <c r="C1095" s="76"/>
      <c r="D1095" s="44"/>
      <c r="E1095" s="44"/>
      <c r="F1095" s="44"/>
      <c r="G1095" s="44"/>
      <c r="H1095" s="44"/>
      <c r="I1095" s="44"/>
      <c r="J1095" s="44"/>
      <c r="K1095" s="44"/>
      <c r="L1095" s="44"/>
      <c r="M1095" s="44"/>
      <c r="N1095" s="37"/>
      <c r="O1095" s="38"/>
      <c r="P1095" s="34"/>
      <c r="Q1095" s="39"/>
      <c r="R1095" s="84"/>
      <c r="S1095" s="47"/>
      <c r="T1095" s="42"/>
      <c r="U1095" s="147"/>
      <c r="W1095" s="73"/>
      <c r="X1095"/>
      <c r="Y1095" s="69"/>
      <c r="Z1095"/>
      <c r="AA1095" s="33"/>
    </row>
    <row r="1096" spans="1:27" s="31" customFormat="1">
      <c r="A1096" s="34"/>
      <c r="B1096" s="76"/>
      <c r="C1096" s="76"/>
      <c r="D1096" s="44"/>
      <c r="E1096" s="44"/>
      <c r="F1096" s="44"/>
      <c r="G1096" s="44"/>
      <c r="H1096" s="44"/>
      <c r="I1096" s="44"/>
      <c r="J1096" s="44"/>
      <c r="K1096" s="44"/>
      <c r="L1096" s="44"/>
      <c r="M1096" s="44"/>
      <c r="N1096" s="37"/>
      <c r="O1096" s="38"/>
      <c r="P1096" s="34"/>
      <c r="Q1096" s="39"/>
      <c r="R1096" s="84"/>
      <c r="S1096" s="47"/>
      <c r="T1096" s="42"/>
      <c r="U1096" s="147"/>
      <c r="W1096" s="73"/>
      <c r="X1096"/>
      <c r="Y1096" s="69"/>
      <c r="Z1096"/>
      <c r="AA1096" s="33"/>
    </row>
    <row r="1097" spans="1:27" s="31" customFormat="1">
      <c r="A1097" s="34"/>
      <c r="B1097" s="76"/>
      <c r="C1097" s="76"/>
      <c r="D1097" s="44"/>
      <c r="E1097" s="44"/>
      <c r="F1097" s="44"/>
      <c r="G1097" s="44"/>
      <c r="H1097" s="44"/>
      <c r="I1097" s="44"/>
      <c r="J1097" s="44"/>
      <c r="K1097" s="44"/>
      <c r="L1097" s="44"/>
      <c r="M1097" s="44"/>
      <c r="N1097" s="37"/>
      <c r="O1097" s="38"/>
      <c r="P1097" s="34"/>
      <c r="Q1097" s="39"/>
      <c r="R1097" s="84"/>
      <c r="S1097" s="47"/>
      <c r="T1097" s="42"/>
      <c r="U1097" s="147"/>
      <c r="W1097" s="73"/>
      <c r="X1097"/>
      <c r="Y1097" s="69"/>
      <c r="Z1097"/>
      <c r="AA1097" s="33"/>
    </row>
    <row r="1098" spans="1:27" s="31" customFormat="1">
      <c r="A1098" s="34"/>
      <c r="B1098" s="76"/>
      <c r="C1098" s="76"/>
      <c r="D1098" s="44"/>
      <c r="E1098" s="44"/>
      <c r="F1098" s="44"/>
      <c r="G1098" s="44"/>
      <c r="H1098" s="44"/>
      <c r="I1098" s="44"/>
      <c r="J1098" s="44"/>
      <c r="K1098" s="44"/>
      <c r="L1098" s="44"/>
      <c r="M1098" s="44"/>
      <c r="N1098" s="37"/>
      <c r="O1098" s="38"/>
      <c r="P1098" s="34"/>
      <c r="Q1098" s="39"/>
      <c r="R1098" s="84"/>
      <c r="S1098" s="47"/>
      <c r="T1098" s="42"/>
      <c r="U1098" s="147"/>
      <c r="W1098" s="73"/>
      <c r="X1098"/>
      <c r="Y1098" s="69"/>
      <c r="Z1098"/>
      <c r="AA1098" s="33"/>
    </row>
    <row r="1099" spans="1:27" s="31" customFormat="1">
      <c r="A1099" s="34"/>
      <c r="B1099" s="76"/>
      <c r="C1099" s="76"/>
      <c r="D1099" s="44"/>
      <c r="E1099" s="44"/>
      <c r="F1099" s="44"/>
      <c r="G1099" s="44"/>
      <c r="H1099" s="44"/>
      <c r="I1099" s="44"/>
      <c r="J1099" s="44"/>
      <c r="K1099" s="44"/>
      <c r="L1099" s="44"/>
      <c r="M1099" s="44"/>
      <c r="N1099" s="37"/>
      <c r="O1099" s="38"/>
      <c r="P1099" s="34"/>
      <c r="Q1099" s="39"/>
      <c r="R1099" s="84"/>
      <c r="S1099" s="47"/>
      <c r="T1099" s="42"/>
      <c r="U1099" s="147"/>
      <c r="W1099" s="73"/>
      <c r="X1099"/>
      <c r="Y1099" s="69"/>
      <c r="Z1099"/>
      <c r="AA1099" s="33"/>
    </row>
    <row r="1100" spans="1:27" s="31" customFormat="1">
      <c r="A1100" s="34"/>
      <c r="B1100" s="76"/>
      <c r="C1100" s="76"/>
      <c r="D1100" s="44"/>
      <c r="E1100" s="44"/>
      <c r="F1100" s="44"/>
      <c r="G1100" s="44"/>
      <c r="H1100" s="44"/>
      <c r="I1100" s="44"/>
      <c r="J1100" s="44"/>
      <c r="K1100" s="44"/>
      <c r="L1100" s="44"/>
      <c r="M1100" s="44"/>
      <c r="N1100" s="37"/>
      <c r="O1100" s="38"/>
      <c r="P1100" s="34"/>
      <c r="Q1100" s="39"/>
      <c r="R1100" s="84"/>
      <c r="S1100" s="47"/>
      <c r="T1100" s="42"/>
      <c r="U1100" s="147"/>
      <c r="W1100" s="73"/>
      <c r="X1100"/>
      <c r="Y1100" s="69"/>
      <c r="Z1100"/>
      <c r="AA1100" s="33"/>
    </row>
    <row r="1101" spans="1:27" s="31" customFormat="1">
      <c r="A1101" s="34"/>
      <c r="B1101" s="76"/>
      <c r="C1101" s="76"/>
      <c r="D1101" s="44"/>
      <c r="E1101" s="44"/>
      <c r="F1101" s="44"/>
      <c r="G1101" s="44"/>
      <c r="H1101" s="44"/>
      <c r="I1101" s="44"/>
      <c r="J1101" s="44"/>
      <c r="K1101" s="44"/>
      <c r="L1101" s="44"/>
      <c r="M1101" s="44"/>
      <c r="N1101" s="37"/>
      <c r="O1101" s="38"/>
      <c r="P1101" s="34"/>
      <c r="Q1101" s="39"/>
      <c r="R1101" s="84"/>
      <c r="S1101" s="47"/>
      <c r="T1101" s="42"/>
      <c r="U1101" s="147"/>
      <c r="W1101" s="73"/>
      <c r="X1101"/>
      <c r="Y1101" s="69"/>
      <c r="Z1101"/>
      <c r="AA1101" s="33"/>
    </row>
    <row r="1102" spans="1:27" s="31" customFormat="1">
      <c r="A1102" s="34"/>
      <c r="B1102" s="76"/>
      <c r="C1102" s="76"/>
      <c r="D1102" s="44"/>
      <c r="E1102" s="44"/>
      <c r="F1102" s="44"/>
      <c r="G1102" s="44"/>
      <c r="H1102" s="44"/>
      <c r="I1102" s="44"/>
      <c r="J1102" s="44"/>
      <c r="K1102" s="44"/>
      <c r="L1102" s="44"/>
      <c r="M1102" s="44"/>
      <c r="N1102" s="37"/>
      <c r="O1102" s="38"/>
      <c r="P1102" s="34"/>
      <c r="Q1102" s="39"/>
      <c r="R1102" s="84"/>
      <c r="S1102" s="47"/>
      <c r="T1102" s="42"/>
      <c r="U1102" s="147"/>
      <c r="W1102" s="73"/>
      <c r="X1102"/>
      <c r="Y1102" s="69"/>
      <c r="Z1102"/>
      <c r="AA1102" s="33"/>
    </row>
    <row r="1103" spans="1:27" s="31" customFormat="1">
      <c r="A1103" s="34"/>
      <c r="B1103" s="76"/>
      <c r="C1103" s="76"/>
      <c r="D1103" s="44"/>
      <c r="E1103" s="44"/>
      <c r="F1103" s="44"/>
      <c r="G1103" s="44"/>
      <c r="H1103" s="44"/>
      <c r="I1103" s="44"/>
      <c r="J1103" s="44"/>
      <c r="K1103" s="44"/>
      <c r="L1103" s="44"/>
      <c r="M1103" s="44"/>
      <c r="N1103" s="37"/>
      <c r="O1103" s="38"/>
      <c r="P1103" s="34"/>
      <c r="Q1103" s="39"/>
      <c r="R1103" s="84"/>
      <c r="S1103" s="47"/>
      <c r="T1103" s="42"/>
      <c r="U1103" s="147"/>
      <c r="W1103" s="73"/>
      <c r="X1103"/>
      <c r="Y1103" s="69"/>
      <c r="Z1103"/>
      <c r="AA1103" s="33"/>
    </row>
    <row r="1104" spans="1:27" s="31" customFormat="1">
      <c r="A1104" s="34"/>
      <c r="B1104" s="76"/>
      <c r="C1104" s="76"/>
      <c r="D1104" s="44"/>
      <c r="E1104" s="44"/>
      <c r="F1104" s="44"/>
      <c r="G1104" s="44"/>
      <c r="H1104" s="44"/>
      <c r="I1104" s="44"/>
      <c r="J1104" s="44"/>
      <c r="K1104" s="44"/>
      <c r="L1104" s="44"/>
      <c r="M1104" s="44"/>
      <c r="N1104" s="37"/>
      <c r="O1104" s="38"/>
      <c r="P1104" s="34"/>
      <c r="Q1104" s="39"/>
      <c r="R1104" s="84"/>
      <c r="S1104" s="47"/>
      <c r="T1104" s="42"/>
      <c r="U1104" s="147"/>
      <c r="W1104" s="73"/>
      <c r="X1104"/>
      <c r="Y1104" s="69"/>
      <c r="Z1104"/>
      <c r="AA1104" s="33"/>
    </row>
    <row r="1105" spans="1:27" s="31" customFormat="1">
      <c r="A1105" s="34"/>
      <c r="B1105" s="76"/>
      <c r="C1105" s="76"/>
      <c r="D1105" s="44"/>
      <c r="E1105" s="44"/>
      <c r="F1105" s="44"/>
      <c r="G1105" s="44"/>
      <c r="H1105" s="44"/>
      <c r="I1105" s="44"/>
      <c r="J1105" s="44"/>
      <c r="K1105" s="44"/>
      <c r="L1105" s="44"/>
      <c r="M1105" s="44"/>
      <c r="N1105" s="37"/>
      <c r="O1105" s="38"/>
      <c r="P1105" s="34"/>
      <c r="Q1105" s="39"/>
      <c r="R1105" s="84"/>
      <c r="S1105" s="47"/>
      <c r="T1105" s="42"/>
      <c r="U1105" s="147"/>
      <c r="W1105" s="73"/>
      <c r="X1105"/>
      <c r="Y1105" s="69"/>
      <c r="Z1105"/>
      <c r="AA1105" s="33"/>
    </row>
    <row r="1106" spans="1:27" s="31" customFormat="1">
      <c r="A1106" s="34"/>
      <c r="B1106" s="76"/>
      <c r="C1106" s="76"/>
      <c r="D1106" s="44"/>
      <c r="E1106" s="44"/>
      <c r="F1106" s="44"/>
      <c r="G1106" s="44"/>
      <c r="H1106" s="44"/>
      <c r="I1106" s="44"/>
      <c r="J1106" s="44"/>
      <c r="K1106" s="44"/>
      <c r="L1106" s="44"/>
      <c r="M1106" s="44"/>
      <c r="N1106" s="37"/>
      <c r="O1106" s="38"/>
      <c r="P1106" s="34"/>
      <c r="Q1106" s="39"/>
      <c r="R1106" s="84"/>
      <c r="S1106" s="47"/>
      <c r="T1106" s="42"/>
      <c r="U1106" s="147"/>
      <c r="W1106" s="73"/>
      <c r="X1106"/>
      <c r="Y1106" s="69"/>
      <c r="Z1106"/>
      <c r="AA1106" s="33"/>
    </row>
    <row r="1107" spans="1:27" s="31" customFormat="1">
      <c r="A1107" s="34"/>
      <c r="B1107" s="76"/>
      <c r="C1107" s="76"/>
      <c r="D1107" s="44"/>
      <c r="E1107" s="44"/>
      <c r="F1107" s="44"/>
      <c r="G1107" s="44"/>
      <c r="H1107" s="44"/>
      <c r="I1107" s="44"/>
      <c r="J1107" s="44"/>
      <c r="K1107" s="44"/>
      <c r="L1107" s="44"/>
      <c r="M1107" s="44"/>
      <c r="N1107" s="37"/>
      <c r="O1107" s="38"/>
      <c r="P1107" s="34"/>
      <c r="Q1107" s="39"/>
      <c r="R1107" s="84"/>
      <c r="S1107" s="47"/>
      <c r="T1107" s="42"/>
      <c r="U1107" s="147"/>
      <c r="W1107" s="73"/>
      <c r="X1107"/>
      <c r="Y1107" s="69"/>
      <c r="Z1107"/>
      <c r="AA1107" s="33"/>
    </row>
    <row r="1108" spans="1:27" s="31" customFormat="1">
      <c r="A1108" s="34"/>
      <c r="B1108" s="76"/>
      <c r="C1108" s="76"/>
      <c r="D1108" s="44"/>
      <c r="E1108" s="44"/>
      <c r="F1108" s="44"/>
      <c r="G1108" s="44"/>
      <c r="H1108" s="44"/>
      <c r="I1108" s="44"/>
      <c r="J1108" s="44"/>
      <c r="K1108" s="44"/>
      <c r="L1108" s="44"/>
      <c r="M1108" s="44"/>
      <c r="N1108" s="37"/>
      <c r="O1108" s="38"/>
      <c r="P1108" s="34"/>
      <c r="Q1108" s="39"/>
      <c r="R1108" s="84"/>
      <c r="S1108" s="47"/>
      <c r="T1108" s="42"/>
      <c r="U1108" s="147"/>
      <c r="W1108" s="73"/>
      <c r="X1108"/>
      <c r="Y1108" s="69"/>
      <c r="Z1108"/>
      <c r="AA1108" s="33"/>
    </row>
    <row r="1109" spans="1:27" s="31" customFormat="1">
      <c r="A1109" s="34"/>
      <c r="B1109" s="76"/>
      <c r="C1109" s="76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37"/>
      <c r="O1109" s="38"/>
      <c r="P1109" s="34"/>
      <c r="Q1109" s="39"/>
      <c r="R1109" s="84"/>
      <c r="S1109" s="47"/>
      <c r="T1109" s="42"/>
      <c r="U1109" s="147"/>
      <c r="W1109" s="73"/>
      <c r="X1109"/>
      <c r="Y1109" s="69"/>
      <c r="Z1109"/>
      <c r="AA1109" s="33"/>
    </row>
    <row r="1110" spans="1:27" s="31" customFormat="1">
      <c r="A1110" s="34"/>
      <c r="B1110" s="76"/>
      <c r="C1110" s="76"/>
      <c r="D1110" s="44"/>
      <c r="E1110" s="44"/>
      <c r="F1110" s="44"/>
      <c r="G1110" s="44"/>
      <c r="H1110" s="44"/>
      <c r="I1110" s="44"/>
      <c r="J1110" s="44"/>
      <c r="K1110" s="44"/>
      <c r="L1110" s="44"/>
      <c r="M1110" s="44"/>
      <c r="N1110" s="37"/>
      <c r="O1110" s="38"/>
      <c r="P1110" s="34"/>
      <c r="Q1110" s="39"/>
      <c r="R1110" s="84"/>
      <c r="S1110" s="47"/>
      <c r="T1110" s="42"/>
      <c r="U1110" s="147"/>
      <c r="W1110" s="73"/>
      <c r="X1110"/>
      <c r="Y1110" s="69"/>
      <c r="Z1110"/>
      <c r="AA1110" s="33"/>
    </row>
    <row r="1111" spans="1:27" s="31" customFormat="1">
      <c r="A1111" s="34"/>
      <c r="B1111" s="76"/>
      <c r="C1111" s="76"/>
      <c r="D1111" s="44"/>
      <c r="E1111" s="44"/>
      <c r="F1111" s="44"/>
      <c r="G1111" s="44"/>
      <c r="H1111" s="44"/>
      <c r="I1111" s="44"/>
      <c r="J1111" s="44"/>
      <c r="K1111" s="44"/>
      <c r="L1111" s="44"/>
      <c r="M1111" s="44"/>
      <c r="N1111" s="37"/>
      <c r="O1111" s="38"/>
      <c r="P1111" s="34"/>
      <c r="Q1111" s="39"/>
      <c r="R1111" s="84"/>
      <c r="S1111" s="47"/>
      <c r="T1111" s="42"/>
      <c r="U1111" s="147"/>
      <c r="W1111" s="73"/>
      <c r="X1111"/>
      <c r="Y1111" s="69"/>
      <c r="Z1111"/>
      <c r="AA1111" s="33"/>
    </row>
    <row r="1112" spans="1:27" s="31" customFormat="1">
      <c r="A1112" s="34"/>
      <c r="B1112" s="76"/>
      <c r="C1112" s="76"/>
      <c r="D1112" s="44"/>
      <c r="E1112" s="44"/>
      <c r="F1112" s="44"/>
      <c r="G1112" s="44"/>
      <c r="H1112" s="44"/>
      <c r="I1112" s="44"/>
      <c r="J1112" s="44"/>
      <c r="K1112" s="44"/>
      <c r="L1112" s="44"/>
      <c r="M1112" s="44"/>
      <c r="N1112" s="37"/>
      <c r="O1112" s="38"/>
      <c r="P1112" s="34"/>
      <c r="Q1112" s="39"/>
      <c r="R1112" s="84"/>
      <c r="S1112" s="47"/>
      <c r="T1112" s="42"/>
      <c r="U1112" s="147"/>
      <c r="W1112" s="73"/>
      <c r="X1112"/>
      <c r="Y1112" s="69"/>
      <c r="Z1112"/>
      <c r="AA1112" s="33"/>
    </row>
    <row r="1113" spans="1:27" s="31" customFormat="1">
      <c r="A1113" s="34"/>
      <c r="B1113" s="76"/>
      <c r="C1113" s="76"/>
      <c r="D1113" s="44"/>
      <c r="E1113" s="44"/>
      <c r="F1113" s="44"/>
      <c r="G1113" s="44"/>
      <c r="H1113" s="44"/>
      <c r="I1113" s="44"/>
      <c r="J1113" s="44"/>
      <c r="K1113" s="44"/>
      <c r="L1113" s="44"/>
      <c r="M1113" s="44"/>
      <c r="N1113" s="37"/>
      <c r="O1113" s="38"/>
      <c r="P1113" s="34"/>
      <c r="Q1113" s="39"/>
      <c r="R1113" s="84"/>
      <c r="S1113" s="47"/>
      <c r="T1113" s="42"/>
      <c r="U1113" s="147"/>
      <c r="W1113" s="73"/>
      <c r="X1113"/>
      <c r="Y1113" s="69"/>
      <c r="Z1113"/>
      <c r="AA1113" s="33"/>
    </row>
    <row r="1114" spans="1:27" s="31" customFormat="1">
      <c r="A1114" s="34"/>
      <c r="B1114" s="76"/>
      <c r="C1114" s="76"/>
      <c r="D1114" s="44"/>
      <c r="E1114" s="44"/>
      <c r="F1114" s="44"/>
      <c r="G1114" s="44"/>
      <c r="H1114" s="44"/>
      <c r="I1114" s="44"/>
      <c r="J1114" s="44"/>
      <c r="K1114" s="44"/>
      <c r="L1114" s="44"/>
      <c r="M1114" s="44"/>
      <c r="N1114" s="37"/>
      <c r="O1114" s="38"/>
      <c r="P1114" s="34"/>
      <c r="Q1114" s="39"/>
      <c r="R1114" s="84"/>
      <c r="S1114" s="47"/>
      <c r="T1114" s="42"/>
      <c r="U1114" s="147"/>
      <c r="W1114" s="73"/>
      <c r="X1114"/>
      <c r="Y1114" s="69"/>
      <c r="Z1114"/>
      <c r="AA1114" s="33"/>
    </row>
    <row r="1115" spans="1:27" s="31" customFormat="1">
      <c r="A1115" s="34"/>
      <c r="B1115" s="76"/>
      <c r="C1115" s="76"/>
      <c r="D1115" s="44"/>
      <c r="E1115" s="44"/>
      <c r="F1115" s="44"/>
      <c r="G1115" s="44"/>
      <c r="H1115" s="44"/>
      <c r="I1115" s="44"/>
      <c r="J1115" s="44"/>
      <c r="K1115" s="44"/>
      <c r="L1115" s="44"/>
      <c r="M1115" s="44"/>
      <c r="N1115" s="37"/>
      <c r="O1115" s="38"/>
      <c r="P1115" s="34"/>
      <c r="Q1115" s="39"/>
      <c r="R1115" s="84"/>
      <c r="S1115" s="47"/>
      <c r="T1115" s="42"/>
      <c r="U1115" s="147"/>
      <c r="W1115" s="73"/>
      <c r="X1115"/>
      <c r="Y1115" s="69"/>
      <c r="Z1115"/>
      <c r="AA1115" s="33"/>
    </row>
    <row r="1116" spans="1:27" s="31" customFormat="1">
      <c r="A1116" s="34"/>
      <c r="B1116" s="76"/>
      <c r="C1116" s="76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37"/>
      <c r="O1116" s="38"/>
      <c r="P1116" s="34"/>
      <c r="Q1116" s="34"/>
      <c r="R1116" s="76"/>
      <c r="S1116" s="47"/>
      <c r="T1116" s="42"/>
      <c r="U1116" s="147"/>
      <c r="W1116" s="73"/>
      <c r="X1116"/>
      <c r="Y1116" s="69"/>
      <c r="Z1116"/>
      <c r="AA1116" s="33"/>
    </row>
    <row r="1117" spans="1:27" s="31" customFormat="1">
      <c r="A1117" s="34"/>
      <c r="B1117" s="76"/>
      <c r="C1117" s="76"/>
      <c r="D1117" s="44"/>
      <c r="E1117" s="44"/>
      <c r="F1117" s="44"/>
      <c r="G1117" s="44"/>
      <c r="H1117" s="44"/>
      <c r="I1117" s="44"/>
      <c r="J1117" s="44"/>
      <c r="K1117" s="44"/>
      <c r="L1117" s="44"/>
      <c r="M1117" s="44"/>
      <c r="N1117" s="37"/>
      <c r="O1117" s="38"/>
      <c r="P1117" s="34"/>
      <c r="Q1117" s="34"/>
      <c r="R1117" s="76"/>
      <c r="S1117" s="47"/>
      <c r="T1117" s="42"/>
      <c r="U1117" s="147"/>
      <c r="W1117" s="73"/>
      <c r="X1117"/>
      <c r="Y1117" s="69"/>
      <c r="Z1117"/>
      <c r="AA1117" s="33"/>
    </row>
    <row r="1118" spans="1:27" s="31" customFormat="1">
      <c r="A1118" s="34"/>
      <c r="B1118" s="76"/>
      <c r="C1118" s="76"/>
      <c r="D1118" s="44"/>
      <c r="E1118" s="44"/>
      <c r="F1118" s="44"/>
      <c r="G1118" s="44"/>
      <c r="H1118" s="44"/>
      <c r="I1118" s="44"/>
      <c r="J1118" s="44"/>
      <c r="K1118" s="44"/>
      <c r="L1118" s="44"/>
      <c r="M1118" s="44"/>
      <c r="N1118" s="37"/>
      <c r="O1118" s="38"/>
      <c r="P1118" s="34"/>
      <c r="Q1118" s="34"/>
      <c r="R1118" s="76"/>
      <c r="S1118" s="47"/>
      <c r="T1118" s="42"/>
      <c r="U1118" s="147"/>
      <c r="W1118" s="73"/>
      <c r="X1118"/>
      <c r="Y1118" s="69"/>
      <c r="Z1118"/>
      <c r="AA1118" s="33"/>
    </row>
    <row r="1119" spans="1:27" s="31" customFormat="1">
      <c r="A1119" s="34"/>
      <c r="B1119" s="76"/>
      <c r="C1119" s="76"/>
      <c r="D1119" s="44"/>
      <c r="E1119" s="44"/>
      <c r="F1119" s="44"/>
      <c r="G1119" s="44"/>
      <c r="H1119" s="44"/>
      <c r="I1119" s="44"/>
      <c r="J1119" s="44"/>
      <c r="K1119" s="44"/>
      <c r="L1119" s="44"/>
      <c r="M1119" s="44"/>
      <c r="N1119" s="37"/>
      <c r="O1119" s="38"/>
      <c r="P1119" s="34"/>
      <c r="Q1119" s="34"/>
      <c r="R1119" s="76"/>
      <c r="S1119" s="47"/>
      <c r="T1119" s="42"/>
      <c r="U1119" s="147"/>
      <c r="W1119" s="73"/>
      <c r="X1119"/>
      <c r="Y1119" s="69"/>
      <c r="Z1119"/>
      <c r="AA1119" s="33"/>
    </row>
    <row r="1120" spans="1:27" s="31" customFormat="1">
      <c r="A1120" s="34"/>
      <c r="B1120" s="76"/>
      <c r="C1120" s="76"/>
      <c r="D1120" s="44"/>
      <c r="E1120" s="44"/>
      <c r="F1120" s="44"/>
      <c r="G1120" s="44"/>
      <c r="H1120" s="44"/>
      <c r="I1120" s="44"/>
      <c r="J1120" s="44"/>
      <c r="K1120" s="44"/>
      <c r="L1120" s="44"/>
      <c r="M1120" s="44"/>
      <c r="N1120" s="37"/>
      <c r="O1120" s="38"/>
      <c r="P1120" s="34"/>
      <c r="Q1120" s="34"/>
      <c r="R1120" s="76"/>
      <c r="S1120" s="47"/>
      <c r="T1120" s="42"/>
      <c r="U1120" s="147"/>
      <c r="W1120" s="73"/>
      <c r="X1120"/>
      <c r="Y1120" s="69"/>
      <c r="Z1120"/>
      <c r="AA1120" s="33"/>
    </row>
    <row r="1121" spans="1:27" s="31" customFormat="1">
      <c r="A1121" s="34"/>
      <c r="B1121" s="76"/>
      <c r="C1121" s="76"/>
      <c r="D1121" s="44"/>
      <c r="E1121" s="44"/>
      <c r="F1121" s="44"/>
      <c r="G1121" s="44"/>
      <c r="H1121" s="44"/>
      <c r="I1121" s="44"/>
      <c r="J1121" s="44"/>
      <c r="K1121" s="44"/>
      <c r="L1121" s="44"/>
      <c r="M1121" s="44"/>
      <c r="N1121" s="37"/>
      <c r="O1121" s="38"/>
      <c r="P1121" s="34"/>
      <c r="Q1121" s="34"/>
      <c r="R1121" s="76"/>
      <c r="S1121" s="47"/>
      <c r="T1121" s="42"/>
      <c r="U1121" s="147"/>
      <c r="W1121" s="73"/>
      <c r="X1121"/>
      <c r="Y1121" s="69"/>
      <c r="Z1121"/>
      <c r="AA1121" s="33"/>
    </row>
    <row r="1122" spans="1:27" s="31" customFormat="1">
      <c r="A1122" s="34"/>
      <c r="B1122" s="76"/>
      <c r="C1122" s="76"/>
      <c r="D1122" s="44"/>
      <c r="E1122" s="44"/>
      <c r="F1122" s="44"/>
      <c r="G1122" s="44"/>
      <c r="H1122" s="44"/>
      <c r="I1122" s="44"/>
      <c r="J1122" s="44"/>
      <c r="K1122" s="44"/>
      <c r="L1122" s="44"/>
      <c r="M1122" s="44"/>
      <c r="N1122" s="37"/>
      <c r="O1122" s="38"/>
      <c r="P1122" s="34"/>
      <c r="Q1122" s="34"/>
      <c r="R1122" s="76"/>
      <c r="S1122" s="47"/>
      <c r="T1122" s="42"/>
      <c r="U1122" s="147"/>
      <c r="W1122" s="73"/>
      <c r="X1122"/>
      <c r="Y1122" s="69"/>
      <c r="Z1122"/>
      <c r="AA1122" s="33"/>
    </row>
    <row r="1123" spans="1:27" s="31" customFormat="1">
      <c r="A1123" s="34"/>
      <c r="B1123" s="76"/>
      <c r="C1123" s="76"/>
      <c r="D1123" s="44"/>
      <c r="E1123" s="44"/>
      <c r="F1123" s="44"/>
      <c r="G1123" s="44"/>
      <c r="H1123" s="44"/>
      <c r="I1123" s="44"/>
      <c r="J1123" s="44"/>
      <c r="K1123" s="44"/>
      <c r="L1123" s="44"/>
      <c r="M1123" s="44"/>
      <c r="N1123" s="37"/>
      <c r="O1123" s="38"/>
      <c r="P1123" s="34"/>
      <c r="Q1123" s="34"/>
      <c r="R1123" s="76"/>
      <c r="S1123" s="47"/>
      <c r="T1123" s="42"/>
      <c r="U1123" s="147"/>
      <c r="W1123" s="73"/>
      <c r="X1123"/>
      <c r="Y1123" s="69"/>
      <c r="Z1123"/>
      <c r="AA1123" s="33"/>
    </row>
    <row r="1124" spans="1:27" s="31" customFormat="1">
      <c r="A1124" s="34"/>
      <c r="B1124" s="76"/>
      <c r="C1124" s="76"/>
      <c r="D1124" s="44"/>
      <c r="E1124" s="44"/>
      <c r="F1124" s="44"/>
      <c r="G1124" s="44"/>
      <c r="H1124" s="44"/>
      <c r="I1124" s="44"/>
      <c r="J1124" s="44"/>
      <c r="K1124" s="44"/>
      <c r="L1124" s="44"/>
      <c r="M1124" s="44"/>
      <c r="N1124" s="37"/>
      <c r="O1124" s="38"/>
      <c r="P1124" s="34"/>
      <c r="Q1124" s="34"/>
      <c r="R1124" s="76"/>
      <c r="S1124" s="47"/>
      <c r="T1124" s="42"/>
      <c r="U1124" s="147"/>
      <c r="W1124" s="73"/>
      <c r="X1124"/>
      <c r="Y1124" s="69"/>
      <c r="Z1124"/>
      <c r="AA1124" s="33"/>
    </row>
    <row r="1125" spans="1:27" s="31" customFormat="1">
      <c r="A1125" s="34"/>
      <c r="B1125" s="76"/>
      <c r="C1125" s="76"/>
      <c r="D1125" s="44"/>
      <c r="E1125" s="44"/>
      <c r="F1125" s="44"/>
      <c r="G1125" s="44"/>
      <c r="H1125" s="44"/>
      <c r="I1125" s="44"/>
      <c r="J1125" s="44"/>
      <c r="K1125" s="44"/>
      <c r="L1125" s="44"/>
      <c r="M1125" s="44"/>
      <c r="N1125" s="37"/>
      <c r="O1125" s="38"/>
      <c r="P1125" s="34"/>
      <c r="Q1125" s="34"/>
      <c r="R1125" s="76"/>
      <c r="S1125" s="47"/>
      <c r="T1125" s="42"/>
      <c r="U1125" s="147"/>
      <c r="W1125" s="73"/>
      <c r="X1125"/>
      <c r="Y1125" s="69"/>
      <c r="Z1125"/>
      <c r="AA1125" s="33"/>
    </row>
    <row r="1126" spans="1:27" s="31" customFormat="1">
      <c r="A1126" s="34"/>
      <c r="B1126" s="76"/>
      <c r="C1126" s="76"/>
      <c r="D1126" s="44"/>
      <c r="E1126" s="44"/>
      <c r="F1126" s="44"/>
      <c r="G1126" s="44"/>
      <c r="H1126" s="44"/>
      <c r="I1126" s="44"/>
      <c r="J1126" s="44"/>
      <c r="K1126" s="44"/>
      <c r="L1126" s="44"/>
      <c r="M1126" s="44"/>
      <c r="N1126" s="37"/>
      <c r="O1126" s="38"/>
      <c r="P1126" s="34"/>
      <c r="Q1126" s="34"/>
      <c r="R1126" s="76"/>
      <c r="S1126" s="47"/>
      <c r="T1126" s="42"/>
      <c r="U1126" s="147"/>
      <c r="W1126" s="73"/>
      <c r="X1126"/>
      <c r="Y1126" s="69"/>
      <c r="Z1126"/>
      <c r="AA1126" s="33"/>
    </row>
    <row r="1127" spans="1:27" s="31" customFormat="1">
      <c r="A1127" s="34"/>
      <c r="B1127" s="76"/>
      <c r="C1127" s="76"/>
      <c r="D1127" s="44"/>
      <c r="E1127" s="44"/>
      <c r="F1127" s="44"/>
      <c r="G1127" s="44"/>
      <c r="H1127" s="44"/>
      <c r="I1127" s="44"/>
      <c r="J1127" s="44"/>
      <c r="K1127" s="44"/>
      <c r="L1127" s="44"/>
      <c r="M1127" s="44"/>
      <c r="N1127" s="37"/>
      <c r="O1127" s="38"/>
      <c r="P1127" s="34"/>
      <c r="Q1127" s="34"/>
      <c r="R1127" s="76"/>
      <c r="S1127" s="47"/>
      <c r="T1127" s="42"/>
      <c r="U1127" s="147"/>
      <c r="W1127" s="73"/>
      <c r="X1127"/>
      <c r="Y1127" s="69"/>
      <c r="Z1127"/>
      <c r="AA1127" s="33"/>
    </row>
    <row r="1128" spans="1:27" s="31" customFormat="1">
      <c r="A1128" s="34"/>
      <c r="B1128" s="76"/>
      <c r="C1128" s="76"/>
      <c r="D1128" s="44"/>
      <c r="E1128" s="44"/>
      <c r="F1128" s="44"/>
      <c r="G1128" s="44"/>
      <c r="H1128" s="44"/>
      <c r="I1128" s="44"/>
      <c r="J1128" s="44"/>
      <c r="K1128" s="44"/>
      <c r="L1128" s="44"/>
      <c r="M1128" s="44"/>
      <c r="N1128" s="37"/>
      <c r="O1128" s="38"/>
      <c r="P1128" s="34"/>
      <c r="Q1128" s="34"/>
      <c r="R1128" s="76"/>
      <c r="S1128" s="47"/>
      <c r="T1128" s="42"/>
      <c r="U1128" s="147"/>
      <c r="W1128" s="73"/>
      <c r="X1128"/>
      <c r="Y1128" s="69"/>
      <c r="Z1128"/>
      <c r="AA1128" s="33"/>
    </row>
    <row r="1129" spans="1:27" s="31" customFormat="1">
      <c r="A1129" s="34"/>
      <c r="B1129" s="76"/>
      <c r="C1129" s="76"/>
      <c r="D1129" s="44"/>
      <c r="E1129" s="44"/>
      <c r="F1129" s="44"/>
      <c r="G1129" s="44"/>
      <c r="H1129" s="44"/>
      <c r="I1129" s="44"/>
      <c r="J1129" s="44"/>
      <c r="K1129" s="44"/>
      <c r="L1129" s="44"/>
      <c r="M1129" s="44"/>
      <c r="N1129" s="37"/>
      <c r="O1129" s="38"/>
      <c r="P1129" s="34"/>
      <c r="Q1129" s="34"/>
      <c r="R1129" s="76"/>
      <c r="S1129" s="47"/>
      <c r="T1129" s="42"/>
      <c r="U1129" s="147"/>
      <c r="W1129" s="73"/>
      <c r="X1129"/>
      <c r="Y1129" s="69"/>
      <c r="Z1129"/>
      <c r="AA1129" s="33"/>
    </row>
    <row r="1130" spans="1:27" s="31" customFormat="1">
      <c r="A1130" s="34"/>
      <c r="B1130" s="76"/>
      <c r="C1130" s="76"/>
      <c r="D1130" s="44"/>
      <c r="E1130" s="44"/>
      <c r="F1130" s="44"/>
      <c r="G1130" s="44"/>
      <c r="H1130" s="44"/>
      <c r="I1130" s="44"/>
      <c r="J1130" s="44"/>
      <c r="K1130" s="44"/>
      <c r="L1130" s="44"/>
      <c r="M1130" s="44"/>
      <c r="N1130" s="37"/>
      <c r="O1130" s="38"/>
      <c r="P1130" s="34"/>
      <c r="Q1130" s="34"/>
      <c r="R1130" s="76"/>
      <c r="S1130" s="47"/>
      <c r="T1130" s="42"/>
      <c r="U1130" s="147"/>
      <c r="W1130" s="73"/>
      <c r="X1130"/>
      <c r="Y1130" s="69"/>
      <c r="Z1130"/>
      <c r="AA1130" s="33"/>
    </row>
    <row r="1131" spans="1:27" s="31" customFormat="1">
      <c r="A1131" s="34"/>
      <c r="B1131" s="76"/>
      <c r="C1131" s="76"/>
      <c r="D1131" s="44"/>
      <c r="E1131" s="44"/>
      <c r="F1131" s="44"/>
      <c r="G1131" s="44"/>
      <c r="H1131" s="44"/>
      <c r="I1131" s="44"/>
      <c r="J1131" s="44"/>
      <c r="K1131" s="44"/>
      <c r="L1131" s="44"/>
      <c r="M1131" s="44"/>
      <c r="N1131" s="37"/>
      <c r="O1131" s="38"/>
      <c r="P1131" s="34"/>
      <c r="Q1131" s="34"/>
      <c r="R1131" s="76"/>
      <c r="S1131" s="47"/>
      <c r="T1131" s="42"/>
      <c r="U1131" s="147"/>
      <c r="W1131" s="73"/>
      <c r="X1131"/>
      <c r="Y1131" s="69"/>
      <c r="Z1131"/>
      <c r="AA1131" s="33"/>
    </row>
    <row r="1132" spans="1:27" s="31" customFormat="1">
      <c r="A1132" s="34"/>
      <c r="B1132" s="76"/>
      <c r="C1132" s="76"/>
      <c r="D1132" s="44"/>
      <c r="E1132" s="44"/>
      <c r="F1132" s="44"/>
      <c r="G1132" s="44"/>
      <c r="H1132" s="44"/>
      <c r="I1132" s="44"/>
      <c r="J1132" s="44"/>
      <c r="K1132" s="44"/>
      <c r="L1132" s="44"/>
      <c r="M1132" s="44"/>
      <c r="N1132" s="37"/>
      <c r="O1132" s="38"/>
      <c r="P1132" s="34"/>
      <c r="Q1132" s="34"/>
      <c r="R1132" s="76"/>
      <c r="S1132" s="47"/>
      <c r="T1132" s="42"/>
      <c r="U1132" s="147"/>
      <c r="W1132" s="73"/>
      <c r="X1132"/>
      <c r="Y1132" s="69"/>
      <c r="Z1132"/>
      <c r="AA1132" s="33"/>
    </row>
    <row r="1133" spans="1:27" s="31" customFormat="1">
      <c r="A1133" s="34"/>
      <c r="B1133" s="76"/>
      <c r="C1133" s="76"/>
      <c r="D1133" s="44"/>
      <c r="E1133" s="44"/>
      <c r="F1133" s="44"/>
      <c r="G1133" s="44"/>
      <c r="H1133" s="44"/>
      <c r="I1133" s="44"/>
      <c r="J1133" s="44"/>
      <c r="K1133" s="44"/>
      <c r="L1133" s="44"/>
      <c r="M1133" s="44"/>
      <c r="N1133" s="37"/>
      <c r="O1133" s="38"/>
      <c r="P1133" s="34"/>
      <c r="Q1133" s="34"/>
      <c r="R1133" s="76"/>
      <c r="S1133" s="47"/>
      <c r="T1133" s="42"/>
      <c r="U1133" s="147"/>
      <c r="W1133" s="73"/>
      <c r="X1133"/>
      <c r="Y1133" s="69"/>
      <c r="Z1133"/>
      <c r="AA1133" s="33"/>
    </row>
    <row r="1134" spans="1:27" s="31" customFormat="1">
      <c r="A1134" s="34"/>
      <c r="B1134" s="76"/>
      <c r="C1134" s="76"/>
      <c r="D1134" s="44"/>
      <c r="E1134" s="44"/>
      <c r="F1134" s="44"/>
      <c r="G1134" s="44"/>
      <c r="H1134" s="44"/>
      <c r="I1134" s="44"/>
      <c r="J1134" s="44"/>
      <c r="K1134" s="44"/>
      <c r="L1134" s="44"/>
      <c r="M1134" s="44"/>
      <c r="N1134" s="37"/>
      <c r="O1134" s="38"/>
      <c r="P1134" s="34"/>
      <c r="Q1134" s="34"/>
      <c r="R1134" s="76"/>
      <c r="S1134" s="47"/>
      <c r="T1134" s="42"/>
      <c r="U1134" s="147"/>
      <c r="W1134" s="73"/>
      <c r="X1134"/>
      <c r="Y1134" s="69"/>
      <c r="Z1134"/>
      <c r="AA1134" s="33"/>
    </row>
    <row r="1135" spans="1:27" s="31" customFormat="1">
      <c r="A1135" s="34"/>
      <c r="B1135" s="76"/>
      <c r="C1135" s="76"/>
      <c r="D1135" s="44"/>
      <c r="E1135" s="44"/>
      <c r="F1135" s="44"/>
      <c r="G1135" s="44"/>
      <c r="H1135" s="44"/>
      <c r="I1135" s="44"/>
      <c r="J1135" s="44"/>
      <c r="K1135" s="44"/>
      <c r="L1135" s="44"/>
      <c r="M1135" s="44"/>
      <c r="N1135" s="37"/>
      <c r="O1135" s="38"/>
      <c r="P1135" s="34"/>
      <c r="Q1135" s="34"/>
      <c r="R1135" s="76"/>
      <c r="S1135" s="47"/>
      <c r="T1135" s="42"/>
      <c r="U1135" s="147"/>
      <c r="W1135" s="73"/>
      <c r="X1135"/>
      <c r="Y1135" s="69"/>
      <c r="Z1135"/>
      <c r="AA1135" s="33"/>
    </row>
    <row r="1136" spans="1:27" s="31" customFormat="1">
      <c r="A1136" s="34"/>
      <c r="B1136" s="76"/>
      <c r="C1136" s="76"/>
      <c r="D1136" s="44"/>
      <c r="E1136" s="44"/>
      <c r="F1136" s="44"/>
      <c r="G1136" s="44"/>
      <c r="H1136" s="44"/>
      <c r="I1136" s="44"/>
      <c r="J1136" s="44"/>
      <c r="K1136" s="44"/>
      <c r="L1136" s="44"/>
      <c r="M1136" s="44"/>
      <c r="N1136" s="37"/>
      <c r="O1136" s="38"/>
      <c r="P1136" s="34"/>
      <c r="Q1136" s="34"/>
      <c r="R1136" s="76"/>
      <c r="S1136" s="47"/>
      <c r="T1136" s="42"/>
      <c r="U1136" s="147"/>
      <c r="W1136" s="73"/>
      <c r="X1136"/>
      <c r="Y1136" s="69"/>
      <c r="Z1136"/>
      <c r="AA1136" s="33"/>
    </row>
    <row r="1137" spans="1:27" s="31" customFormat="1">
      <c r="A1137" s="34"/>
      <c r="B1137" s="76"/>
      <c r="C1137" s="76"/>
      <c r="D1137" s="44"/>
      <c r="E1137" s="44"/>
      <c r="F1137" s="44"/>
      <c r="G1137" s="44"/>
      <c r="H1137" s="44"/>
      <c r="I1137" s="44"/>
      <c r="J1137" s="44"/>
      <c r="K1137" s="44"/>
      <c r="L1137" s="44"/>
      <c r="M1137" s="44"/>
      <c r="N1137" s="37"/>
      <c r="O1137" s="38"/>
      <c r="P1137" s="34"/>
      <c r="Q1137" s="34"/>
      <c r="R1137" s="76"/>
      <c r="S1137" s="47"/>
      <c r="T1137" s="42"/>
      <c r="U1137" s="147"/>
      <c r="W1137" s="73"/>
      <c r="X1137"/>
      <c r="Y1137" s="69"/>
      <c r="Z1137"/>
      <c r="AA1137" s="33"/>
    </row>
    <row r="1138" spans="1:27" s="31" customFormat="1">
      <c r="A1138" s="34"/>
      <c r="B1138" s="76"/>
      <c r="C1138" s="76"/>
      <c r="D1138" s="44"/>
      <c r="E1138" s="44"/>
      <c r="F1138" s="44"/>
      <c r="G1138" s="44"/>
      <c r="H1138" s="44"/>
      <c r="I1138" s="44"/>
      <c r="J1138" s="44"/>
      <c r="K1138" s="44"/>
      <c r="L1138" s="44"/>
      <c r="M1138" s="44"/>
      <c r="N1138" s="37"/>
      <c r="O1138" s="38"/>
      <c r="P1138" s="34"/>
      <c r="Q1138" s="34"/>
      <c r="R1138" s="76"/>
      <c r="S1138" s="47"/>
      <c r="T1138" s="42"/>
      <c r="U1138" s="147"/>
      <c r="W1138" s="73"/>
      <c r="X1138"/>
      <c r="Y1138" s="69"/>
      <c r="Z1138"/>
      <c r="AA1138" s="33"/>
    </row>
    <row r="1139" spans="1:27" s="31" customFormat="1">
      <c r="A1139" s="34"/>
      <c r="B1139" s="76"/>
      <c r="C1139" s="76"/>
      <c r="D1139" s="44"/>
      <c r="E1139" s="44"/>
      <c r="F1139" s="44"/>
      <c r="G1139" s="44"/>
      <c r="H1139" s="44"/>
      <c r="I1139" s="44"/>
      <c r="J1139" s="44"/>
      <c r="K1139" s="44"/>
      <c r="L1139" s="44"/>
      <c r="M1139" s="44"/>
      <c r="N1139" s="37"/>
      <c r="O1139" s="38"/>
      <c r="P1139" s="34"/>
      <c r="Q1139" s="34"/>
      <c r="R1139" s="76"/>
      <c r="S1139" s="47"/>
      <c r="T1139" s="42"/>
      <c r="U1139" s="147"/>
      <c r="W1139" s="73"/>
      <c r="X1139"/>
      <c r="Y1139" s="69"/>
      <c r="Z1139"/>
      <c r="AA1139" s="33"/>
    </row>
    <row r="1140" spans="1:27" s="31" customFormat="1">
      <c r="A1140" s="34"/>
      <c r="B1140" s="76"/>
      <c r="C1140" s="76"/>
      <c r="D1140" s="44"/>
      <c r="E1140" s="44"/>
      <c r="F1140" s="44"/>
      <c r="G1140" s="44"/>
      <c r="H1140" s="44"/>
      <c r="I1140" s="44"/>
      <c r="J1140" s="44"/>
      <c r="K1140" s="44"/>
      <c r="L1140" s="44"/>
      <c r="M1140" s="44"/>
      <c r="N1140" s="37"/>
      <c r="O1140" s="38"/>
      <c r="P1140" s="34"/>
      <c r="Q1140" s="34"/>
      <c r="R1140" s="76"/>
      <c r="S1140" s="47"/>
      <c r="T1140" s="42"/>
      <c r="U1140" s="147"/>
      <c r="W1140" s="73"/>
      <c r="X1140"/>
      <c r="Y1140" s="69"/>
      <c r="Z1140"/>
      <c r="AA1140" s="33"/>
    </row>
    <row r="1141" spans="1:27" s="31" customFormat="1">
      <c r="A1141" s="34"/>
      <c r="B1141" s="76"/>
      <c r="C1141" s="76"/>
      <c r="D1141" s="44"/>
      <c r="E1141" s="44"/>
      <c r="F1141" s="44"/>
      <c r="G1141" s="44"/>
      <c r="H1141" s="44"/>
      <c r="I1141" s="44"/>
      <c r="J1141" s="44"/>
      <c r="K1141" s="44"/>
      <c r="L1141" s="44"/>
      <c r="M1141" s="44"/>
      <c r="N1141" s="37"/>
      <c r="O1141" s="38"/>
      <c r="P1141" s="34"/>
      <c r="Q1141" s="34"/>
      <c r="R1141" s="76"/>
      <c r="S1141" s="47"/>
      <c r="T1141" s="42"/>
      <c r="U1141" s="147"/>
      <c r="W1141" s="73"/>
      <c r="X1141"/>
      <c r="Y1141" s="69"/>
      <c r="Z1141"/>
      <c r="AA1141" s="33"/>
    </row>
    <row r="1142" spans="1:27" s="31" customFormat="1">
      <c r="A1142" s="34"/>
      <c r="B1142" s="76"/>
      <c r="C1142" s="76"/>
      <c r="D1142" s="44"/>
      <c r="E1142" s="44"/>
      <c r="F1142" s="44"/>
      <c r="G1142" s="44"/>
      <c r="H1142" s="44"/>
      <c r="I1142" s="44"/>
      <c r="J1142" s="44"/>
      <c r="K1142" s="44"/>
      <c r="L1142" s="44"/>
      <c r="M1142" s="44"/>
      <c r="N1142" s="37"/>
      <c r="O1142" s="38"/>
      <c r="P1142" s="34"/>
      <c r="Q1142" s="34"/>
      <c r="R1142" s="76"/>
      <c r="S1142" s="47"/>
      <c r="T1142" s="42"/>
      <c r="U1142" s="147"/>
      <c r="W1142" s="73"/>
      <c r="X1142"/>
      <c r="Y1142" s="69"/>
      <c r="Z1142"/>
      <c r="AA1142" s="33"/>
    </row>
    <row r="1143" spans="1:27" s="31" customFormat="1">
      <c r="A1143" s="34"/>
      <c r="B1143" s="76"/>
      <c r="C1143" s="76"/>
      <c r="D1143" s="44"/>
      <c r="E1143" s="44"/>
      <c r="F1143" s="44"/>
      <c r="G1143" s="44"/>
      <c r="H1143" s="44"/>
      <c r="I1143" s="44"/>
      <c r="J1143" s="44"/>
      <c r="K1143" s="44"/>
      <c r="L1143" s="44"/>
      <c r="M1143" s="44"/>
      <c r="N1143" s="37"/>
      <c r="O1143" s="38"/>
      <c r="P1143" s="34"/>
      <c r="Q1143" s="34"/>
      <c r="R1143" s="76"/>
      <c r="S1143" s="47"/>
      <c r="T1143" s="42"/>
      <c r="U1143" s="147"/>
      <c r="W1143" s="73"/>
      <c r="X1143"/>
      <c r="Y1143" s="69"/>
      <c r="Z1143"/>
      <c r="AA1143" s="33"/>
    </row>
    <row r="1144" spans="1:27" s="31" customFormat="1">
      <c r="A1144" s="34"/>
      <c r="B1144" s="76"/>
      <c r="C1144" s="76"/>
      <c r="D1144" s="44"/>
      <c r="E1144" s="44"/>
      <c r="F1144" s="44"/>
      <c r="G1144" s="44"/>
      <c r="H1144" s="44"/>
      <c r="I1144" s="44"/>
      <c r="J1144" s="44"/>
      <c r="K1144" s="44"/>
      <c r="L1144" s="44"/>
      <c r="M1144" s="44"/>
      <c r="N1144" s="37"/>
      <c r="O1144" s="38"/>
      <c r="P1144" s="34"/>
      <c r="Q1144" s="34"/>
      <c r="R1144" s="76"/>
      <c r="S1144" s="47"/>
      <c r="T1144" s="42"/>
      <c r="U1144" s="147"/>
      <c r="W1144" s="73"/>
      <c r="X1144"/>
      <c r="Y1144" s="69"/>
      <c r="Z1144"/>
      <c r="AA1144" s="33"/>
    </row>
    <row r="1145" spans="1:27" s="31" customFormat="1">
      <c r="A1145" s="34"/>
      <c r="B1145" s="76"/>
      <c r="C1145" s="76"/>
      <c r="D1145" s="44"/>
      <c r="E1145" s="44"/>
      <c r="F1145" s="44"/>
      <c r="G1145" s="44"/>
      <c r="H1145" s="44"/>
      <c r="I1145" s="44"/>
      <c r="J1145" s="44"/>
      <c r="K1145" s="44"/>
      <c r="L1145" s="44"/>
      <c r="M1145" s="44"/>
      <c r="N1145" s="37"/>
      <c r="O1145" s="38"/>
      <c r="P1145" s="34"/>
      <c r="Q1145" s="34"/>
      <c r="R1145" s="76"/>
      <c r="S1145" s="47"/>
      <c r="T1145" s="42"/>
      <c r="U1145" s="147"/>
      <c r="W1145" s="73"/>
      <c r="X1145"/>
      <c r="Y1145" s="69"/>
      <c r="Z1145"/>
      <c r="AA1145" s="33"/>
    </row>
    <row r="1146" spans="1:27" s="31" customFormat="1">
      <c r="A1146" s="34"/>
      <c r="B1146" s="76"/>
      <c r="C1146" s="76"/>
      <c r="D1146" s="44"/>
      <c r="E1146" s="44"/>
      <c r="F1146" s="44"/>
      <c r="G1146" s="44"/>
      <c r="H1146" s="44"/>
      <c r="I1146" s="44"/>
      <c r="J1146" s="44"/>
      <c r="K1146" s="44"/>
      <c r="L1146" s="44"/>
      <c r="M1146" s="44"/>
      <c r="N1146" s="37"/>
      <c r="O1146" s="38"/>
      <c r="P1146" s="34"/>
      <c r="Q1146" s="34"/>
      <c r="R1146" s="76"/>
      <c r="S1146" s="47"/>
      <c r="T1146" s="42"/>
      <c r="U1146" s="147"/>
      <c r="W1146" s="73"/>
      <c r="X1146"/>
      <c r="Y1146" s="69"/>
      <c r="Z1146"/>
      <c r="AA1146" s="33"/>
    </row>
    <row r="1147" spans="1:27" s="31" customFormat="1">
      <c r="A1147" s="34"/>
      <c r="B1147" s="76"/>
      <c r="C1147" s="76"/>
      <c r="D1147" s="44"/>
      <c r="E1147" s="44"/>
      <c r="F1147" s="44"/>
      <c r="G1147" s="44"/>
      <c r="H1147" s="44"/>
      <c r="I1147" s="44"/>
      <c r="J1147" s="44"/>
      <c r="K1147" s="44"/>
      <c r="L1147" s="44"/>
      <c r="M1147" s="44"/>
      <c r="N1147" s="37"/>
      <c r="O1147" s="38"/>
      <c r="P1147" s="34"/>
      <c r="Q1147" s="34"/>
      <c r="R1147" s="76"/>
      <c r="S1147" s="47"/>
      <c r="T1147" s="42"/>
      <c r="U1147" s="147"/>
      <c r="W1147" s="73"/>
      <c r="X1147"/>
      <c r="Y1147" s="69"/>
      <c r="Z1147"/>
      <c r="AA1147" s="33"/>
    </row>
    <row r="1148" spans="1:27" s="31" customFormat="1">
      <c r="A1148" s="34"/>
      <c r="B1148" s="76"/>
      <c r="C1148" s="76"/>
      <c r="D1148" s="44"/>
      <c r="E1148" s="44"/>
      <c r="F1148" s="44"/>
      <c r="G1148" s="44"/>
      <c r="H1148" s="44"/>
      <c r="I1148" s="44"/>
      <c r="J1148" s="44"/>
      <c r="K1148" s="44"/>
      <c r="L1148" s="44"/>
      <c r="M1148" s="44"/>
      <c r="N1148" s="37"/>
      <c r="O1148" s="38"/>
      <c r="P1148" s="34"/>
      <c r="Q1148" s="34"/>
      <c r="R1148" s="76"/>
      <c r="S1148" s="47"/>
      <c r="T1148" s="42"/>
      <c r="U1148" s="147"/>
      <c r="W1148" s="73"/>
      <c r="X1148"/>
      <c r="Y1148" s="69"/>
      <c r="Z1148"/>
      <c r="AA1148" s="33"/>
    </row>
    <row r="1149" spans="1:27" s="31" customFormat="1">
      <c r="A1149" s="34"/>
      <c r="B1149" s="76"/>
      <c r="C1149" s="76"/>
      <c r="D1149" s="44"/>
      <c r="E1149" s="44"/>
      <c r="F1149" s="44"/>
      <c r="G1149" s="44"/>
      <c r="H1149" s="44"/>
      <c r="I1149" s="44"/>
      <c r="J1149" s="44"/>
      <c r="K1149" s="44"/>
      <c r="L1149" s="44"/>
      <c r="M1149" s="44"/>
      <c r="N1149" s="37"/>
      <c r="O1149" s="38"/>
      <c r="P1149" s="34"/>
      <c r="Q1149" s="34"/>
      <c r="R1149" s="76"/>
      <c r="S1149" s="47"/>
      <c r="T1149" s="42"/>
      <c r="U1149" s="147"/>
      <c r="W1149" s="73"/>
      <c r="X1149"/>
      <c r="Y1149" s="69"/>
      <c r="Z1149"/>
      <c r="AA1149" s="33"/>
    </row>
    <row r="1150" spans="1:27" s="31" customFormat="1">
      <c r="A1150" s="34"/>
      <c r="B1150" s="76"/>
      <c r="C1150" s="76"/>
      <c r="D1150" s="44"/>
      <c r="E1150" s="44"/>
      <c r="F1150" s="44"/>
      <c r="G1150" s="44"/>
      <c r="H1150" s="44"/>
      <c r="I1150" s="44"/>
      <c r="J1150" s="44"/>
      <c r="K1150" s="44"/>
      <c r="L1150" s="44"/>
      <c r="M1150" s="44"/>
      <c r="N1150" s="37"/>
      <c r="O1150" s="38"/>
      <c r="P1150" s="34"/>
      <c r="Q1150" s="34"/>
      <c r="R1150" s="76"/>
      <c r="S1150" s="47"/>
      <c r="T1150" s="42"/>
      <c r="U1150" s="147"/>
      <c r="W1150" s="73"/>
      <c r="X1150"/>
      <c r="Y1150" s="69"/>
      <c r="Z1150"/>
      <c r="AA1150" s="33"/>
    </row>
    <row r="1151" spans="1:27" s="31" customFormat="1">
      <c r="A1151" s="34"/>
      <c r="B1151" s="76"/>
      <c r="C1151" s="76"/>
      <c r="D1151" s="44"/>
      <c r="E1151" s="44"/>
      <c r="F1151" s="44"/>
      <c r="G1151" s="44"/>
      <c r="H1151" s="44"/>
      <c r="I1151" s="44"/>
      <c r="J1151" s="44"/>
      <c r="K1151" s="44"/>
      <c r="L1151" s="44"/>
      <c r="M1151" s="44"/>
      <c r="N1151" s="37"/>
      <c r="O1151" s="38"/>
      <c r="P1151" s="34"/>
      <c r="Q1151" s="34"/>
      <c r="R1151" s="76"/>
      <c r="S1151" s="47"/>
      <c r="T1151" s="42"/>
      <c r="U1151" s="147"/>
      <c r="W1151" s="73"/>
      <c r="X1151"/>
      <c r="Y1151" s="69"/>
      <c r="Z1151"/>
      <c r="AA1151" s="33"/>
    </row>
    <row r="1152" spans="1:27" s="31" customFormat="1">
      <c r="A1152" s="34"/>
      <c r="B1152" s="76"/>
      <c r="C1152" s="76"/>
      <c r="D1152" s="44"/>
      <c r="E1152" s="44"/>
      <c r="F1152" s="44"/>
      <c r="G1152" s="44"/>
      <c r="H1152" s="44"/>
      <c r="I1152" s="44"/>
      <c r="J1152" s="44"/>
      <c r="K1152" s="44"/>
      <c r="L1152" s="44"/>
      <c r="M1152" s="44"/>
      <c r="N1152" s="37"/>
      <c r="O1152" s="38"/>
      <c r="P1152" s="34"/>
      <c r="Q1152" s="34"/>
      <c r="R1152" s="76"/>
      <c r="S1152" s="47"/>
      <c r="T1152" s="42"/>
      <c r="U1152" s="147"/>
      <c r="W1152" s="73"/>
      <c r="X1152"/>
      <c r="Y1152" s="69"/>
      <c r="Z1152"/>
      <c r="AA1152" s="33"/>
    </row>
    <row r="1153" spans="1:27" s="31" customFormat="1">
      <c r="A1153" s="34"/>
      <c r="B1153" s="76"/>
      <c r="C1153" s="76"/>
      <c r="D1153" s="44"/>
      <c r="E1153" s="44"/>
      <c r="F1153" s="44"/>
      <c r="G1153" s="44"/>
      <c r="H1153" s="44"/>
      <c r="I1153" s="44"/>
      <c r="J1153" s="44"/>
      <c r="K1153" s="44"/>
      <c r="L1153" s="44"/>
      <c r="M1153" s="44"/>
      <c r="N1153" s="37"/>
      <c r="O1153" s="38"/>
      <c r="P1153" s="34"/>
      <c r="Q1153" s="34"/>
      <c r="R1153" s="76"/>
      <c r="S1153" s="47"/>
      <c r="T1153" s="42"/>
      <c r="U1153" s="147"/>
      <c r="W1153" s="73"/>
      <c r="X1153"/>
      <c r="Y1153" s="69"/>
      <c r="Z1153"/>
      <c r="AA1153" s="33"/>
    </row>
    <row r="1154" spans="1:27" s="31" customFormat="1">
      <c r="A1154" s="34"/>
      <c r="B1154" s="76"/>
      <c r="C1154" s="76"/>
      <c r="D1154" s="44"/>
      <c r="E1154" s="44"/>
      <c r="F1154" s="44"/>
      <c r="G1154" s="44"/>
      <c r="H1154" s="44"/>
      <c r="I1154" s="44"/>
      <c r="J1154" s="44"/>
      <c r="K1154" s="44"/>
      <c r="L1154" s="44"/>
      <c r="M1154" s="44"/>
      <c r="N1154" s="37"/>
      <c r="O1154" s="38"/>
      <c r="P1154" s="34"/>
      <c r="Q1154" s="34"/>
      <c r="R1154" s="76"/>
      <c r="S1154" s="47"/>
      <c r="T1154" s="42"/>
      <c r="U1154" s="147"/>
      <c r="W1154" s="73"/>
      <c r="X1154"/>
      <c r="Y1154" s="69"/>
      <c r="Z1154"/>
      <c r="AA1154" s="33"/>
    </row>
    <row r="1155" spans="1:27" s="31" customFormat="1">
      <c r="A1155" s="34"/>
      <c r="B1155" s="76"/>
      <c r="C1155" s="76"/>
      <c r="D1155" s="44"/>
      <c r="E1155" s="44"/>
      <c r="F1155" s="44"/>
      <c r="G1155" s="44"/>
      <c r="H1155" s="44"/>
      <c r="I1155" s="44"/>
      <c r="J1155" s="44"/>
      <c r="K1155" s="44"/>
      <c r="L1155" s="44"/>
      <c r="M1155" s="44"/>
      <c r="N1155" s="37"/>
      <c r="O1155" s="38"/>
      <c r="P1155" s="34"/>
      <c r="Q1155" s="34"/>
      <c r="R1155" s="76"/>
      <c r="S1155" s="47"/>
      <c r="T1155" s="42"/>
      <c r="U1155" s="147"/>
      <c r="W1155" s="73"/>
      <c r="X1155"/>
      <c r="Y1155" s="69"/>
      <c r="Z1155"/>
      <c r="AA1155" s="33"/>
    </row>
    <row r="1156" spans="1:27" s="31" customFormat="1">
      <c r="A1156" s="34"/>
      <c r="B1156" s="76"/>
      <c r="C1156" s="76"/>
      <c r="D1156" s="44"/>
      <c r="E1156" s="44"/>
      <c r="F1156" s="44"/>
      <c r="G1156" s="44"/>
      <c r="H1156" s="44"/>
      <c r="I1156" s="44"/>
      <c r="J1156" s="44"/>
      <c r="K1156" s="44"/>
      <c r="L1156" s="44"/>
      <c r="M1156" s="44"/>
      <c r="N1156" s="37"/>
      <c r="O1156" s="38"/>
      <c r="P1156" s="34"/>
      <c r="Q1156" s="34"/>
      <c r="R1156" s="76"/>
      <c r="S1156" s="47"/>
      <c r="T1156" s="42"/>
      <c r="U1156" s="147"/>
      <c r="W1156" s="73"/>
      <c r="X1156"/>
      <c r="Y1156" s="69"/>
      <c r="Z1156"/>
      <c r="AA1156" s="33"/>
    </row>
    <row r="1157" spans="1:27" s="31" customFormat="1">
      <c r="A1157" s="34"/>
      <c r="B1157" s="76"/>
      <c r="C1157" s="76"/>
      <c r="D1157" s="44"/>
      <c r="E1157" s="44"/>
      <c r="F1157" s="44"/>
      <c r="G1157" s="44"/>
      <c r="H1157" s="44"/>
      <c r="I1157" s="44"/>
      <c r="J1157" s="44"/>
      <c r="K1157" s="44"/>
      <c r="L1157" s="44"/>
      <c r="M1157" s="44"/>
      <c r="N1157" s="37"/>
      <c r="O1157" s="38"/>
      <c r="P1157" s="34"/>
      <c r="Q1157" s="34"/>
      <c r="R1157" s="76"/>
      <c r="S1157" s="47"/>
      <c r="T1157" s="42"/>
      <c r="U1157" s="147"/>
      <c r="W1157" s="73"/>
      <c r="X1157"/>
      <c r="Y1157" s="69"/>
      <c r="Z1157"/>
      <c r="AA1157" s="33"/>
    </row>
    <row r="1158" spans="1:27" s="31" customFormat="1">
      <c r="A1158" s="34"/>
      <c r="B1158" s="76"/>
      <c r="C1158" s="76"/>
      <c r="D1158" s="44"/>
      <c r="E1158" s="44"/>
      <c r="F1158" s="44"/>
      <c r="G1158" s="44"/>
      <c r="H1158" s="44"/>
      <c r="I1158" s="44"/>
      <c r="J1158" s="44"/>
      <c r="K1158" s="44"/>
      <c r="L1158" s="44"/>
      <c r="M1158" s="44"/>
      <c r="N1158" s="37"/>
      <c r="O1158" s="38"/>
      <c r="P1158" s="34"/>
      <c r="Q1158" s="34"/>
      <c r="R1158" s="76"/>
      <c r="S1158" s="47"/>
      <c r="T1158" s="42"/>
      <c r="U1158" s="147"/>
      <c r="W1158" s="73"/>
      <c r="X1158"/>
      <c r="Y1158" s="69"/>
      <c r="Z1158"/>
      <c r="AA1158" s="33"/>
    </row>
    <row r="1159" spans="1:27" s="31" customFormat="1">
      <c r="A1159" s="34"/>
      <c r="B1159" s="76"/>
      <c r="C1159" s="76"/>
      <c r="D1159" s="44"/>
      <c r="E1159" s="44"/>
      <c r="F1159" s="44"/>
      <c r="G1159" s="44"/>
      <c r="H1159" s="44"/>
      <c r="I1159" s="44"/>
      <c r="J1159" s="44"/>
      <c r="K1159" s="44"/>
      <c r="L1159" s="44"/>
      <c r="M1159" s="44"/>
      <c r="N1159" s="37"/>
      <c r="O1159" s="38"/>
      <c r="P1159" s="34"/>
      <c r="Q1159" s="34"/>
      <c r="R1159" s="76"/>
      <c r="S1159" s="47"/>
      <c r="T1159" s="42"/>
      <c r="U1159" s="147"/>
      <c r="W1159" s="73"/>
      <c r="X1159"/>
      <c r="Y1159" s="69"/>
      <c r="Z1159"/>
      <c r="AA1159" s="33"/>
    </row>
    <row r="1160" spans="1:27" s="31" customFormat="1">
      <c r="A1160" s="34"/>
      <c r="B1160" s="76"/>
      <c r="C1160" s="76"/>
      <c r="D1160" s="44"/>
      <c r="E1160" s="44"/>
      <c r="F1160" s="44"/>
      <c r="G1160" s="44"/>
      <c r="H1160" s="44"/>
      <c r="I1160" s="44"/>
      <c r="J1160" s="44"/>
      <c r="K1160" s="44"/>
      <c r="L1160" s="44"/>
      <c r="M1160" s="44"/>
      <c r="N1160" s="37"/>
      <c r="O1160" s="38"/>
      <c r="P1160" s="34"/>
      <c r="Q1160" s="34"/>
      <c r="R1160" s="76"/>
      <c r="S1160" s="47"/>
      <c r="T1160" s="42"/>
      <c r="U1160" s="147"/>
      <c r="W1160" s="73"/>
      <c r="X1160"/>
      <c r="Y1160" s="69"/>
      <c r="Z1160"/>
      <c r="AA1160" s="33"/>
    </row>
    <row r="1161" spans="1:27" s="31" customFormat="1">
      <c r="A1161" s="34"/>
      <c r="B1161" s="76"/>
      <c r="C1161" s="76"/>
      <c r="D1161" s="44"/>
      <c r="E1161" s="44"/>
      <c r="F1161" s="44"/>
      <c r="G1161" s="44"/>
      <c r="H1161" s="44"/>
      <c r="I1161" s="44"/>
      <c r="J1161" s="44"/>
      <c r="K1161" s="44"/>
      <c r="L1161" s="44"/>
      <c r="M1161" s="44"/>
      <c r="N1161" s="37"/>
      <c r="O1161" s="38"/>
      <c r="P1161" s="34"/>
      <c r="Q1161" s="34"/>
      <c r="R1161" s="76"/>
      <c r="S1161" s="47"/>
      <c r="T1161" s="42"/>
      <c r="U1161" s="147"/>
      <c r="W1161" s="73"/>
      <c r="X1161"/>
      <c r="Y1161" s="69"/>
      <c r="Z1161"/>
      <c r="AA1161" s="33"/>
    </row>
    <row r="1162" spans="1:27" s="31" customFormat="1">
      <c r="A1162" s="34"/>
      <c r="B1162" s="76"/>
      <c r="C1162" s="76"/>
      <c r="D1162" s="44"/>
      <c r="E1162" s="44"/>
      <c r="F1162" s="44"/>
      <c r="G1162" s="44"/>
      <c r="H1162" s="44"/>
      <c r="I1162" s="44"/>
      <c r="J1162" s="44"/>
      <c r="K1162" s="44"/>
      <c r="L1162" s="44"/>
      <c r="M1162" s="44"/>
      <c r="N1162" s="37"/>
      <c r="O1162" s="38"/>
      <c r="P1162" s="34"/>
      <c r="Q1162" s="34"/>
      <c r="R1162" s="76"/>
      <c r="S1162" s="47"/>
      <c r="T1162" s="42"/>
      <c r="U1162" s="147"/>
      <c r="W1162" s="73"/>
      <c r="X1162"/>
      <c r="Y1162" s="69"/>
      <c r="Z1162"/>
      <c r="AA1162" s="33"/>
    </row>
    <row r="1163" spans="1:27" s="31" customFormat="1">
      <c r="A1163" s="34"/>
      <c r="B1163" s="76"/>
      <c r="C1163" s="76"/>
      <c r="D1163" s="44"/>
      <c r="E1163" s="44"/>
      <c r="F1163" s="44"/>
      <c r="G1163" s="44"/>
      <c r="H1163" s="44"/>
      <c r="I1163" s="44"/>
      <c r="J1163" s="44"/>
      <c r="K1163" s="44"/>
      <c r="L1163" s="44"/>
      <c r="M1163" s="44"/>
      <c r="N1163" s="37"/>
      <c r="O1163" s="38"/>
      <c r="P1163" s="34"/>
      <c r="Q1163" s="34"/>
      <c r="R1163" s="76"/>
      <c r="S1163" s="47"/>
      <c r="T1163" s="42"/>
      <c r="U1163" s="147"/>
      <c r="W1163" s="73"/>
      <c r="X1163"/>
      <c r="Y1163" s="69"/>
      <c r="Z1163"/>
      <c r="AA1163" s="33"/>
    </row>
    <row r="1164" spans="1:27" s="31" customFormat="1">
      <c r="A1164" s="34"/>
      <c r="B1164" s="76"/>
      <c r="C1164" s="76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37"/>
      <c r="O1164" s="38"/>
      <c r="P1164" s="34"/>
      <c r="Q1164" s="34"/>
      <c r="R1164" s="76"/>
      <c r="S1164" s="47"/>
      <c r="T1164" s="42"/>
      <c r="U1164" s="147"/>
      <c r="W1164" s="73"/>
      <c r="X1164"/>
      <c r="Y1164" s="69"/>
      <c r="Z1164"/>
      <c r="AA1164" s="33"/>
    </row>
    <row r="1165" spans="1:27" s="31" customFormat="1">
      <c r="A1165" s="34"/>
      <c r="B1165" s="76"/>
      <c r="C1165" s="76"/>
      <c r="D1165" s="44"/>
      <c r="E1165" s="44"/>
      <c r="F1165" s="44"/>
      <c r="G1165" s="44"/>
      <c r="H1165" s="44"/>
      <c r="I1165" s="44"/>
      <c r="J1165" s="44"/>
      <c r="K1165" s="44"/>
      <c r="L1165" s="44"/>
      <c r="M1165" s="44"/>
      <c r="N1165" s="37"/>
      <c r="O1165" s="38"/>
      <c r="P1165" s="34"/>
      <c r="Q1165" s="34"/>
      <c r="R1165" s="76"/>
      <c r="S1165" s="47"/>
      <c r="T1165" s="42"/>
      <c r="U1165" s="147"/>
      <c r="W1165" s="73"/>
      <c r="X1165"/>
      <c r="Y1165" s="69"/>
      <c r="Z1165"/>
      <c r="AA1165" s="33"/>
    </row>
    <row r="1166" spans="1:27" s="31" customFormat="1">
      <c r="A1166" s="34"/>
      <c r="B1166" s="76"/>
      <c r="C1166" s="76"/>
      <c r="D1166" s="44"/>
      <c r="E1166" s="44"/>
      <c r="F1166" s="44"/>
      <c r="G1166" s="44"/>
      <c r="H1166" s="44"/>
      <c r="I1166" s="44"/>
      <c r="J1166" s="44"/>
      <c r="K1166" s="44"/>
      <c r="L1166" s="44"/>
      <c r="M1166" s="44"/>
      <c r="N1166" s="37"/>
      <c r="O1166" s="38"/>
      <c r="P1166" s="34"/>
      <c r="Q1166" s="39"/>
      <c r="R1166" s="84"/>
      <c r="S1166" s="47"/>
      <c r="T1166" s="42"/>
      <c r="U1166" s="147"/>
      <c r="W1166" s="73"/>
      <c r="X1166"/>
      <c r="Y1166" s="69"/>
      <c r="Z1166"/>
      <c r="AA1166" s="33"/>
    </row>
    <row r="1167" spans="1:27" s="31" customFormat="1">
      <c r="A1167" s="34"/>
      <c r="B1167" s="76"/>
      <c r="C1167" s="76"/>
      <c r="D1167" s="44"/>
      <c r="E1167" s="44"/>
      <c r="F1167" s="44"/>
      <c r="G1167" s="44"/>
      <c r="H1167" s="44"/>
      <c r="I1167" s="44"/>
      <c r="J1167" s="44"/>
      <c r="K1167" s="44"/>
      <c r="L1167" s="44"/>
      <c r="M1167" s="44"/>
      <c r="N1167" s="37"/>
      <c r="O1167" s="38"/>
      <c r="P1167" s="34"/>
      <c r="Q1167" s="39"/>
      <c r="R1167" s="84"/>
      <c r="S1167" s="47"/>
      <c r="T1167" s="42"/>
      <c r="U1167" s="147"/>
      <c r="W1167" s="73"/>
      <c r="X1167"/>
      <c r="Y1167" s="69"/>
      <c r="Z1167"/>
      <c r="AA1167" s="33"/>
    </row>
    <row r="1168" spans="1:27" s="31" customFormat="1">
      <c r="A1168" s="34"/>
      <c r="B1168" s="76"/>
      <c r="C1168" s="76"/>
      <c r="D1168" s="44"/>
      <c r="E1168" s="44"/>
      <c r="F1168" s="44"/>
      <c r="G1168" s="44"/>
      <c r="H1168" s="44"/>
      <c r="I1168" s="44"/>
      <c r="J1168" s="44"/>
      <c r="K1168" s="44"/>
      <c r="L1168" s="44"/>
      <c r="M1168" s="44"/>
      <c r="N1168" s="37"/>
      <c r="O1168" s="38"/>
      <c r="P1168" s="34"/>
      <c r="Q1168" s="39"/>
      <c r="R1168" s="84"/>
      <c r="S1168" s="47"/>
      <c r="T1168" s="42"/>
      <c r="U1168" s="147"/>
      <c r="W1168" s="73"/>
      <c r="X1168"/>
      <c r="Y1168" s="69"/>
      <c r="Z1168"/>
      <c r="AA1168" s="33"/>
    </row>
    <row r="1169" spans="1:27" s="31" customFormat="1">
      <c r="A1169" s="34"/>
      <c r="B1169" s="76"/>
      <c r="C1169" s="76"/>
      <c r="D1169" s="44"/>
      <c r="E1169" s="44"/>
      <c r="F1169" s="44"/>
      <c r="G1169" s="44"/>
      <c r="H1169" s="44"/>
      <c r="I1169" s="44"/>
      <c r="J1169" s="44"/>
      <c r="K1169" s="44"/>
      <c r="L1169" s="44"/>
      <c r="M1169" s="44"/>
      <c r="N1169" s="37"/>
      <c r="O1169" s="38"/>
      <c r="P1169" s="34"/>
      <c r="Q1169" s="39"/>
      <c r="R1169" s="84"/>
      <c r="S1169" s="47"/>
      <c r="T1169" s="42"/>
      <c r="U1169" s="147"/>
      <c r="W1169" s="73"/>
      <c r="X1169"/>
      <c r="Y1169" s="69"/>
      <c r="Z1169"/>
      <c r="AA1169" s="33"/>
    </row>
    <row r="1170" spans="1:27" s="31" customFormat="1">
      <c r="A1170" s="34"/>
      <c r="B1170" s="76"/>
      <c r="C1170" s="76"/>
      <c r="D1170" s="44"/>
      <c r="E1170" s="44"/>
      <c r="F1170" s="44"/>
      <c r="G1170" s="44"/>
      <c r="H1170" s="44"/>
      <c r="I1170" s="44"/>
      <c r="J1170" s="44"/>
      <c r="K1170" s="44"/>
      <c r="L1170" s="44"/>
      <c r="M1170" s="44"/>
      <c r="N1170" s="37"/>
      <c r="O1170" s="38"/>
      <c r="P1170" s="34"/>
      <c r="Q1170" s="39"/>
      <c r="R1170" s="84"/>
      <c r="S1170" s="47"/>
      <c r="T1170" s="42"/>
      <c r="U1170" s="147"/>
      <c r="W1170" s="73"/>
      <c r="X1170"/>
      <c r="Y1170" s="69"/>
      <c r="Z1170"/>
      <c r="AA1170" s="33"/>
    </row>
    <row r="1171" spans="1:27" s="31" customFormat="1">
      <c r="A1171" s="34"/>
      <c r="B1171" s="76"/>
      <c r="C1171" s="76"/>
      <c r="D1171" s="44"/>
      <c r="E1171" s="44"/>
      <c r="F1171" s="44"/>
      <c r="G1171" s="44"/>
      <c r="H1171" s="44"/>
      <c r="I1171" s="44"/>
      <c r="J1171" s="44"/>
      <c r="K1171" s="44"/>
      <c r="L1171" s="44"/>
      <c r="M1171" s="44"/>
      <c r="N1171" s="37"/>
      <c r="O1171" s="38"/>
      <c r="P1171" s="34"/>
      <c r="Q1171" s="39"/>
      <c r="R1171" s="84"/>
      <c r="S1171" s="47"/>
      <c r="T1171" s="42"/>
      <c r="U1171" s="147"/>
      <c r="W1171" s="73"/>
      <c r="X1171"/>
      <c r="Y1171" s="69"/>
      <c r="Z1171"/>
      <c r="AA1171" s="33"/>
    </row>
    <row r="1172" spans="1:27" s="31" customFormat="1">
      <c r="A1172" s="34"/>
      <c r="B1172" s="76"/>
      <c r="C1172" s="76"/>
      <c r="D1172" s="44"/>
      <c r="E1172" s="44"/>
      <c r="F1172" s="44"/>
      <c r="G1172" s="44"/>
      <c r="H1172" s="44"/>
      <c r="I1172" s="44"/>
      <c r="J1172" s="44"/>
      <c r="K1172" s="44"/>
      <c r="L1172" s="44"/>
      <c r="M1172" s="44"/>
      <c r="N1172" s="37"/>
      <c r="O1172" s="38"/>
      <c r="P1172" s="34"/>
      <c r="Q1172" s="39"/>
      <c r="R1172" s="84"/>
      <c r="S1172" s="47"/>
      <c r="T1172" s="42"/>
      <c r="U1172" s="147"/>
      <c r="W1172" s="73"/>
      <c r="X1172"/>
      <c r="Y1172" s="69"/>
      <c r="Z1172"/>
      <c r="AA1172" s="33"/>
    </row>
    <row r="1173" spans="1:27" s="31" customFormat="1">
      <c r="A1173" s="34"/>
      <c r="B1173" s="76"/>
      <c r="C1173" s="76"/>
      <c r="D1173" s="44"/>
      <c r="E1173" s="44"/>
      <c r="F1173" s="44"/>
      <c r="G1173" s="44"/>
      <c r="H1173" s="44"/>
      <c r="I1173" s="44"/>
      <c r="J1173" s="44"/>
      <c r="K1173" s="44"/>
      <c r="L1173" s="44"/>
      <c r="M1173" s="44"/>
      <c r="N1173" s="37"/>
      <c r="O1173" s="38"/>
      <c r="P1173" s="34"/>
      <c r="Q1173" s="39"/>
      <c r="R1173" s="84"/>
      <c r="S1173" s="47"/>
      <c r="T1173" s="42"/>
      <c r="U1173" s="147"/>
      <c r="W1173" s="73"/>
      <c r="X1173"/>
      <c r="Y1173" s="69"/>
      <c r="Z1173"/>
      <c r="AA1173" s="33"/>
    </row>
    <row r="1174" spans="1:27" s="31" customFormat="1">
      <c r="A1174" s="34"/>
      <c r="B1174" s="76"/>
      <c r="C1174" s="76"/>
      <c r="D1174" s="44"/>
      <c r="E1174" s="44"/>
      <c r="F1174" s="44"/>
      <c r="G1174" s="44"/>
      <c r="H1174" s="44"/>
      <c r="I1174" s="44"/>
      <c r="J1174" s="44"/>
      <c r="K1174" s="44"/>
      <c r="L1174" s="44"/>
      <c r="M1174" s="44"/>
      <c r="N1174" s="37"/>
      <c r="O1174" s="38"/>
      <c r="P1174" s="34"/>
      <c r="Q1174" s="39"/>
      <c r="R1174" s="84"/>
      <c r="S1174" s="47"/>
      <c r="T1174" s="42"/>
      <c r="U1174" s="147"/>
      <c r="W1174" s="73"/>
      <c r="X1174"/>
      <c r="Y1174" s="69"/>
      <c r="Z1174"/>
      <c r="AA1174" s="33"/>
    </row>
    <row r="1175" spans="1:27" s="31" customFormat="1">
      <c r="A1175" s="34"/>
      <c r="B1175" s="76"/>
      <c r="C1175" s="76"/>
      <c r="D1175" s="44"/>
      <c r="E1175" s="44"/>
      <c r="F1175" s="44"/>
      <c r="G1175" s="44"/>
      <c r="H1175" s="44"/>
      <c r="I1175" s="44"/>
      <c r="J1175" s="44"/>
      <c r="K1175" s="44"/>
      <c r="L1175" s="44"/>
      <c r="M1175" s="44"/>
      <c r="N1175" s="37"/>
      <c r="O1175" s="38"/>
      <c r="P1175" s="34"/>
      <c r="Q1175" s="39"/>
      <c r="R1175" s="84"/>
      <c r="S1175" s="47"/>
      <c r="T1175" s="42"/>
      <c r="U1175" s="147"/>
      <c r="W1175" s="73"/>
      <c r="X1175"/>
      <c r="Y1175" s="69"/>
      <c r="Z1175"/>
      <c r="AA1175" s="33"/>
    </row>
    <row r="1176" spans="1:27" s="31" customFormat="1">
      <c r="A1176" s="34"/>
      <c r="B1176" s="76"/>
      <c r="C1176" s="76"/>
      <c r="D1176" s="44"/>
      <c r="E1176" s="44"/>
      <c r="F1176" s="44"/>
      <c r="G1176" s="44"/>
      <c r="H1176" s="44"/>
      <c r="I1176" s="44"/>
      <c r="J1176" s="44"/>
      <c r="K1176" s="44"/>
      <c r="L1176" s="44"/>
      <c r="M1176" s="44"/>
      <c r="N1176" s="37"/>
      <c r="O1176" s="38"/>
      <c r="P1176" s="34"/>
      <c r="Q1176" s="39"/>
      <c r="R1176" s="84"/>
      <c r="S1176" s="47"/>
      <c r="T1176" s="42"/>
      <c r="U1176" s="147"/>
      <c r="W1176" s="73"/>
      <c r="X1176"/>
      <c r="Y1176" s="69"/>
      <c r="Z1176"/>
      <c r="AA1176" s="33"/>
    </row>
    <row r="1177" spans="1:27" s="31" customFormat="1">
      <c r="A1177" s="34"/>
      <c r="B1177" s="76"/>
      <c r="C1177" s="76"/>
      <c r="D1177" s="44"/>
      <c r="E1177" s="44"/>
      <c r="F1177" s="44"/>
      <c r="G1177" s="44"/>
      <c r="H1177" s="44"/>
      <c r="I1177" s="44"/>
      <c r="J1177" s="44"/>
      <c r="K1177" s="44"/>
      <c r="L1177" s="44"/>
      <c r="M1177" s="44"/>
      <c r="N1177" s="37"/>
      <c r="O1177" s="38"/>
      <c r="P1177" s="34"/>
      <c r="Q1177" s="39"/>
      <c r="R1177" s="84"/>
      <c r="S1177" s="47"/>
      <c r="T1177" s="42"/>
      <c r="U1177" s="147"/>
      <c r="W1177" s="73"/>
      <c r="X1177"/>
      <c r="Y1177" s="69"/>
      <c r="Z1177"/>
      <c r="AA1177" s="33"/>
    </row>
    <row r="1178" spans="1:27" s="31" customFormat="1">
      <c r="A1178" s="34"/>
      <c r="B1178" s="76"/>
      <c r="C1178" s="76"/>
      <c r="D1178" s="44"/>
      <c r="E1178" s="44"/>
      <c r="F1178" s="44"/>
      <c r="G1178" s="44"/>
      <c r="H1178" s="44"/>
      <c r="I1178" s="44"/>
      <c r="J1178" s="44"/>
      <c r="K1178" s="44"/>
      <c r="L1178" s="44"/>
      <c r="M1178" s="44"/>
      <c r="N1178" s="37"/>
      <c r="O1178" s="38"/>
      <c r="P1178" s="34"/>
      <c r="Q1178" s="39"/>
      <c r="R1178" s="84"/>
      <c r="S1178" s="47"/>
      <c r="T1178" s="42"/>
      <c r="U1178" s="147"/>
      <c r="W1178" s="73"/>
      <c r="X1178"/>
      <c r="Y1178" s="69"/>
      <c r="Z1178"/>
      <c r="AA1178" s="33"/>
    </row>
    <row r="1179" spans="1:27" s="31" customFormat="1">
      <c r="A1179" s="34"/>
      <c r="B1179" s="76"/>
      <c r="C1179" s="76"/>
      <c r="D1179" s="44"/>
      <c r="E1179" s="44"/>
      <c r="F1179" s="44"/>
      <c r="G1179" s="44"/>
      <c r="H1179" s="44"/>
      <c r="I1179" s="44"/>
      <c r="J1179" s="44"/>
      <c r="K1179" s="44"/>
      <c r="L1179" s="44"/>
      <c r="M1179" s="44"/>
      <c r="N1179" s="37"/>
      <c r="O1179" s="38"/>
      <c r="P1179" s="34"/>
      <c r="Q1179" s="39"/>
      <c r="R1179" s="84"/>
      <c r="S1179" s="47"/>
      <c r="T1179" s="42"/>
      <c r="U1179" s="147"/>
      <c r="W1179" s="73"/>
      <c r="X1179"/>
      <c r="Y1179" s="69"/>
      <c r="Z1179"/>
      <c r="AA1179" s="33"/>
    </row>
    <row r="1180" spans="1:27" s="31" customFormat="1">
      <c r="A1180" s="34"/>
      <c r="B1180" s="76"/>
      <c r="C1180" s="76"/>
      <c r="D1180" s="44"/>
      <c r="E1180" s="44"/>
      <c r="F1180" s="44"/>
      <c r="G1180" s="44"/>
      <c r="H1180" s="44"/>
      <c r="I1180" s="44"/>
      <c r="J1180" s="44"/>
      <c r="K1180" s="44"/>
      <c r="L1180" s="44"/>
      <c r="M1180" s="44"/>
      <c r="N1180" s="37"/>
      <c r="O1180" s="38"/>
      <c r="P1180" s="34"/>
      <c r="Q1180" s="39"/>
      <c r="R1180" s="84"/>
      <c r="S1180" s="47"/>
      <c r="T1180" s="42"/>
      <c r="U1180" s="147"/>
      <c r="W1180" s="73"/>
      <c r="X1180"/>
      <c r="Y1180" s="69"/>
      <c r="Z1180"/>
      <c r="AA1180" s="33"/>
    </row>
    <row r="1181" spans="1:27" s="31" customFormat="1">
      <c r="A1181" s="34"/>
      <c r="B1181" s="76"/>
      <c r="C1181" s="76"/>
      <c r="D1181" s="44"/>
      <c r="E1181" s="44"/>
      <c r="F1181" s="44"/>
      <c r="G1181" s="44"/>
      <c r="H1181" s="44"/>
      <c r="I1181" s="44"/>
      <c r="J1181" s="44"/>
      <c r="K1181" s="44"/>
      <c r="L1181" s="44"/>
      <c r="M1181" s="44"/>
      <c r="N1181" s="37"/>
      <c r="O1181" s="38"/>
      <c r="P1181" s="34"/>
      <c r="Q1181" s="39"/>
      <c r="R1181" s="84"/>
      <c r="S1181" s="47"/>
      <c r="T1181" s="42"/>
      <c r="U1181" s="147"/>
      <c r="W1181" s="73"/>
      <c r="X1181"/>
      <c r="Y1181" s="69"/>
      <c r="Z1181"/>
      <c r="AA1181" s="33"/>
    </row>
    <row r="1182" spans="1:27" s="31" customFormat="1">
      <c r="A1182" s="34"/>
      <c r="B1182" s="76"/>
      <c r="C1182" s="76"/>
      <c r="D1182" s="44"/>
      <c r="E1182" s="44"/>
      <c r="F1182" s="44"/>
      <c r="G1182" s="44"/>
      <c r="H1182" s="44"/>
      <c r="I1182" s="44"/>
      <c r="J1182" s="44"/>
      <c r="K1182" s="44"/>
      <c r="L1182" s="44"/>
      <c r="M1182" s="44"/>
      <c r="N1182" s="37"/>
      <c r="O1182" s="38"/>
      <c r="P1182" s="34"/>
      <c r="Q1182" s="39"/>
      <c r="R1182" s="84"/>
      <c r="S1182" s="47"/>
      <c r="T1182" s="42"/>
      <c r="U1182" s="147"/>
      <c r="W1182" s="73"/>
      <c r="X1182"/>
      <c r="Y1182" s="69"/>
      <c r="Z1182"/>
      <c r="AA1182" s="33"/>
    </row>
    <row r="1183" spans="1:27" s="31" customFormat="1">
      <c r="A1183" s="34"/>
      <c r="B1183" s="76"/>
      <c r="C1183" s="76"/>
      <c r="D1183" s="44"/>
      <c r="E1183" s="44"/>
      <c r="F1183" s="44"/>
      <c r="G1183" s="44"/>
      <c r="H1183" s="44"/>
      <c r="I1183" s="44"/>
      <c r="J1183" s="44"/>
      <c r="K1183" s="44"/>
      <c r="L1183" s="44"/>
      <c r="M1183" s="44"/>
      <c r="N1183" s="37"/>
      <c r="O1183" s="38"/>
      <c r="P1183" s="34"/>
      <c r="Q1183" s="39"/>
      <c r="R1183" s="84"/>
      <c r="S1183" s="47"/>
      <c r="T1183" s="42"/>
      <c r="U1183" s="147"/>
      <c r="W1183" s="73"/>
      <c r="X1183"/>
      <c r="Y1183" s="69"/>
      <c r="Z1183"/>
      <c r="AA1183" s="33"/>
    </row>
    <row r="1184" spans="1:27" s="31" customFormat="1">
      <c r="A1184" s="34"/>
      <c r="B1184" s="76"/>
      <c r="C1184" s="76"/>
      <c r="D1184" s="44"/>
      <c r="E1184" s="44"/>
      <c r="F1184" s="44"/>
      <c r="G1184" s="44"/>
      <c r="H1184" s="44"/>
      <c r="I1184" s="44"/>
      <c r="J1184" s="44"/>
      <c r="K1184" s="44"/>
      <c r="L1184" s="44"/>
      <c r="M1184" s="44"/>
      <c r="N1184" s="37"/>
      <c r="O1184" s="38"/>
      <c r="P1184" s="34"/>
      <c r="Q1184" s="39"/>
      <c r="R1184" s="84"/>
      <c r="S1184" s="47"/>
      <c r="T1184" s="42"/>
      <c r="U1184" s="147"/>
      <c r="W1184" s="73"/>
      <c r="X1184"/>
      <c r="Y1184" s="69"/>
      <c r="Z1184"/>
      <c r="AA1184" s="33"/>
    </row>
    <row r="1185" spans="1:27" s="31" customFormat="1">
      <c r="A1185" s="34"/>
      <c r="B1185" s="76"/>
      <c r="C1185" s="76"/>
      <c r="D1185" s="44"/>
      <c r="E1185" s="44"/>
      <c r="F1185" s="44"/>
      <c r="G1185" s="44"/>
      <c r="H1185" s="44"/>
      <c r="I1185" s="44"/>
      <c r="J1185" s="44"/>
      <c r="K1185" s="44"/>
      <c r="L1185" s="44"/>
      <c r="M1185" s="44"/>
      <c r="N1185" s="37"/>
      <c r="O1185" s="38"/>
      <c r="P1185" s="34"/>
      <c r="Q1185" s="39"/>
      <c r="R1185" s="84"/>
      <c r="S1185" s="47"/>
      <c r="T1185" s="42"/>
      <c r="U1185" s="147"/>
      <c r="W1185" s="73"/>
      <c r="X1185"/>
      <c r="Y1185" s="69"/>
      <c r="Z1185"/>
      <c r="AA1185" s="33"/>
    </row>
    <row r="1186" spans="1:27" s="31" customFormat="1">
      <c r="A1186" s="34"/>
      <c r="B1186" s="76"/>
      <c r="C1186" s="76"/>
      <c r="D1186" s="44"/>
      <c r="E1186" s="44"/>
      <c r="F1186" s="44"/>
      <c r="G1186" s="44"/>
      <c r="H1186" s="44"/>
      <c r="I1186" s="44"/>
      <c r="J1186" s="44"/>
      <c r="K1186" s="44"/>
      <c r="L1186" s="44"/>
      <c r="M1186" s="44"/>
      <c r="N1186" s="37"/>
      <c r="O1186" s="38"/>
      <c r="P1186" s="34"/>
      <c r="Q1186" s="34"/>
      <c r="R1186" s="76"/>
      <c r="S1186" s="47"/>
      <c r="T1186" s="42"/>
      <c r="U1186" s="147"/>
      <c r="W1186" s="73"/>
      <c r="X1186"/>
      <c r="Y1186" s="69"/>
      <c r="Z1186"/>
      <c r="AA1186" s="33"/>
    </row>
    <row r="1187" spans="1:27" s="31" customFormat="1">
      <c r="A1187" s="34"/>
      <c r="B1187" s="76"/>
      <c r="C1187" s="76"/>
      <c r="D1187" s="44"/>
      <c r="E1187" s="44"/>
      <c r="F1187" s="44"/>
      <c r="G1187" s="44"/>
      <c r="H1187" s="44"/>
      <c r="I1187" s="44"/>
      <c r="J1187" s="44"/>
      <c r="K1187" s="44"/>
      <c r="L1187" s="44"/>
      <c r="M1187" s="44"/>
      <c r="N1187" s="37"/>
      <c r="O1187" s="38"/>
      <c r="P1187" s="34"/>
      <c r="Q1187" s="34"/>
      <c r="R1187" s="76"/>
      <c r="S1187" s="47"/>
      <c r="T1187" s="42"/>
      <c r="U1187" s="147"/>
      <c r="W1187" s="73"/>
      <c r="X1187"/>
      <c r="Y1187" s="69"/>
      <c r="Z1187"/>
      <c r="AA1187" s="33"/>
    </row>
    <row r="1188" spans="1:27" s="31" customFormat="1">
      <c r="A1188" s="34"/>
      <c r="B1188" s="76"/>
      <c r="C1188" s="76"/>
      <c r="D1188" s="44"/>
      <c r="E1188" s="44"/>
      <c r="F1188" s="44"/>
      <c r="G1188" s="44"/>
      <c r="H1188" s="44"/>
      <c r="I1188" s="44"/>
      <c r="J1188" s="44"/>
      <c r="K1188" s="44"/>
      <c r="L1188" s="44"/>
      <c r="M1188" s="44"/>
      <c r="N1188" s="37"/>
      <c r="O1188" s="38"/>
      <c r="P1188" s="34"/>
      <c r="Q1188" s="34"/>
      <c r="R1188" s="76"/>
      <c r="S1188" s="47"/>
      <c r="T1188" s="42"/>
      <c r="U1188" s="147"/>
      <c r="W1188" s="73"/>
      <c r="X1188"/>
      <c r="Y1188" s="69"/>
      <c r="Z1188"/>
      <c r="AA1188" s="33"/>
    </row>
    <row r="1189" spans="1:27" s="31" customFormat="1">
      <c r="A1189" s="34"/>
      <c r="B1189" s="76"/>
      <c r="C1189" s="76"/>
      <c r="D1189" s="44"/>
      <c r="E1189" s="44"/>
      <c r="F1189" s="44"/>
      <c r="G1189" s="44"/>
      <c r="H1189" s="44"/>
      <c r="I1189" s="44"/>
      <c r="J1189" s="44"/>
      <c r="K1189" s="44"/>
      <c r="L1189" s="44"/>
      <c r="M1189" s="44"/>
      <c r="N1189" s="37"/>
      <c r="O1189" s="38"/>
      <c r="P1189" s="34"/>
      <c r="Q1189" s="34"/>
      <c r="R1189" s="76"/>
      <c r="S1189" s="47"/>
      <c r="T1189" s="42"/>
      <c r="U1189" s="147"/>
      <c r="W1189" s="73"/>
      <c r="X1189"/>
      <c r="Y1189" s="69"/>
      <c r="Z1189"/>
      <c r="AA1189" s="33"/>
    </row>
    <row r="1190" spans="1:27" s="31" customFormat="1">
      <c r="A1190" s="34"/>
      <c r="B1190" s="76"/>
      <c r="C1190" s="76"/>
      <c r="D1190" s="44"/>
      <c r="E1190" s="44"/>
      <c r="F1190" s="44"/>
      <c r="G1190" s="44"/>
      <c r="H1190" s="44"/>
      <c r="I1190" s="44"/>
      <c r="J1190" s="44"/>
      <c r="K1190" s="44"/>
      <c r="L1190" s="44"/>
      <c r="M1190" s="44"/>
      <c r="N1190" s="37"/>
      <c r="O1190" s="38"/>
      <c r="P1190" s="34"/>
      <c r="Q1190" s="34"/>
      <c r="R1190" s="76"/>
      <c r="S1190" s="47"/>
      <c r="T1190" s="42"/>
      <c r="U1190" s="147"/>
      <c r="W1190" s="73"/>
      <c r="X1190"/>
      <c r="Y1190" s="69"/>
      <c r="Z1190"/>
      <c r="AA1190" s="33"/>
    </row>
    <row r="1191" spans="1:27" s="31" customFormat="1">
      <c r="A1191" s="34"/>
      <c r="B1191" s="76"/>
      <c r="C1191" s="76"/>
      <c r="D1191" s="44"/>
      <c r="E1191" s="44"/>
      <c r="F1191" s="44"/>
      <c r="G1191" s="44"/>
      <c r="H1191" s="44"/>
      <c r="I1191" s="44"/>
      <c r="J1191" s="44"/>
      <c r="K1191" s="44"/>
      <c r="L1191" s="44"/>
      <c r="M1191" s="44"/>
      <c r="N1191" s="37"/>
      <c r="O1191" s="38"/>
      <c r="P1191" s="34"/>
      <c r="Q1191" s="34"/>
      <c r="R1191" s="76"/>
      <c r="S1191" s="47"/>
      <c r="T1191" s="42"/>
      <c r="U1191" s="147"/>
      <c r="W1191" s="73"/>
      <c r="X1191"/>
      <c r="Y1191" s="69"/>
      <c r="Z1191"/>
      <c r="AA1191" s="33"/>
    </row>
    <row r="1192" spans="1:27" s="31" customFormat="1">
      <c r="A1192" s="34"/>
      <c r="B1192" s="76"/>
      <c r="C1192" s="76"/>
      <c r="D1192" s="44"/>
      <c r="E1192" s="44"/>
      <c r="F1192" s="44"/>
      <c r="G1192" s="44"/>
      <c r="H1192" s="44"/>
      <c r="I1192" s="44"/>
      <c r="J1192" s="44"/>
      <c r="K1192" s="44"/>
      <c r="L1192" s="44"/>
      <c r="M1192" s="44"/>
      <c r="N1192" s="37"/>
      <c r="O1192" s="38"/>
      <c r="P1192" s="34"/>
      <c r="Q1192" s="34"/>
      <c r="R1192" s="76"/>
      <c r="S1192" s="47"/>
      <c r="T1192" s="42"/>
      <c r="U1192" s="147"/>
      <c r="W1192" s="73"/>
      <c r="X1192"/>
      <c r="Y1192" s="69"/>
      <c r="Z1192"/>
      <c r="AA1192" s="33"/>
    </row>
    <row r="1193" spans="1:27" s="31" customFormat="1">
      <c r="A1193" s="34"/>
      <c r="B1193" s="76"/>
      <c r="C1193" s="76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37"/>
      <c r="O1193" s="38"/>
      <c r="P1193" s="34"/>
      <c r="Q1193" s="34"/>
      <c r="R1193" s="76"/>
      <c r="S1193" s="47"/>
      <c r="T1193" s="42"/>
      <c r="U1193" s="147"/>
      <c r="W1193" s="73"/>
      <c r="X1193"/>
      <c r="Y1193" s="69"/>
      <c r="Z1193"/>
      <c r="AA1193" s="33"/>
    </row>
    <row r="1194" spans="1:27" s="31" customFormat="1">
      <c r="A1194" s="34"/>
      <c r="B1194" s="76"/>
      <c r="C1194" s="76"/>
      <c r="D1194" s="44"/>
      <c r="E1194" s="44"/>
      <c r="F1194" s="44"/>
      <c r="G1194" s="44"/>
      <c r="H1194" s="44"/>
      <c r="I1194" s="44"/>
      <c r="J1194" s="44"/>
      <c r="K1194" s="44"/>
      <c r="L1194" s="44"/>
      <c r="M1194" s="44"/>
      <c r="N1194" s="37"/>
      <c r="O1194" s="38"/>
      <c r="P1194" s="34"/>
      <c r="Q1194" s="34"/>
      <c r="R1194" s="76"/>
      <c r="S1194" s="47"/>
      <c r="T1194" s="42"/>
      <c r="U1194" s="147"/>
      <c r="W1194" s="73"/>
      <c r="X1194"/>
      <c r="Y1194" s="69"/>
      <c r="Z1194"/>
      <c r="AA1194" s="33"/>
    </row>
    <row r="1195" spans="1:27" s="31" customFormat="1">
      <c r="A1195" s="34"/>
      <c r="B1195" s="76"/>
      <c r="C1195" s="76"/>
      <c r="D1195" s="44"/>
      <c r="E1195" s="44"/>
      <c r="F1195" s="44"/>
      <c r="G1195" s="44"/>
      <c r="H1195" s="44"/>
      <c r="I1195" s="44"/>
      <c r="J1195" s="44"/>
      <c r="K1195" s="44"/>
      <c r="L1195" s="44"/>
      <c r="M1195" s="44"/>
      <c r="N1195" s="37"/>
      <c r="O1195" s="38"/>
      <c r="P1195" s="34"/>
      <c r="Q1195" s="34"/>
      <c r="R1195" s="76"/>
      <c r="S1195" s="47"/>
      <c r="T1195" s="42"/>
      <c r="U1195" s="147"/>
      <c r="W1195" s="73"/>
      <c r="X1195"/>
      <c r="Y1195" s="69"/>
      <c r="Z1195"/>
      <c r="AA1195" s="33"/>
    </row>
    <row r="1196" spans="1:27" s="31" customFormat="1">
      <c r="A1196" s="34"/>
      <c r="B1196" s="76"/>
      <c r="C1196" s="76"/>
      <c r="D1196" s="44"/>
      <c r="E1196" s="44"/>
      <c r="F1196" s="44"/>
      <c r="G1196" s="44"/>
      <c r="H1196" s="44"/>
      <c r="I1196" s="44"/>
      <c r="J1196" s="44"/>
      <c r="K1196" s="44"/>
      <c r="L1196" s="44"/>
      <c r="M1196" s="44"/>
      <c r="N1196" s="37"/>
      <c r="O1196" s="38"/>
      <c r="P1196" s="34"/>
      <c r="Q1196" s="34"/>
      <c r="R1196" s="76"/>
      <c r="S1196" s="47"/>
      <c r="T1196" s="42"/>
      <c r="U1196" s="147"/>
      <c r="W1196" s="73"/>
      <c r="X1196"/>
      <c r="Y1196" s="69"/>
      <c r="Z1196"/>
      <c r="AA1196" s="33"/>
    </row>
    <row r="1197" spans="1:27" s="31" customFormat="1">
      <c r="A1197" s="34"/>
      <c r="B1197" s="76"/>
      <c r="C1197" s="76"/>
      <c r="D1197" s="44"/>
      <c r="E1197" s="44"/>
      <c r="F1197" s="44"/>
      <c r="G1197" s="44"/>
      <c r="H1197" s="44"/>
      <c r="I1197" s="44"/>
      <c r="J1197" s="44"/>
      <c r="K1197" s="44"/>
      <c r="L1197" s="44"/>
      <c r="M1197" s="44"/>
      <c r="N1197" s="37"/>
      <c r="O1197" s="38"/>
      <c r="P1197" s="34"/>
      <c r="Q1197" s="34"/>
      <c r="R1197" s="76"/>
      <c r="S1197" s="47"/>
      <c r="T1197" s="42"/>
      <c r="U1197" s="147"/>
      <c r="W1197" s="73"/>
      <c r="X1197"/>
      <c r="Y1197" s="69"/>
      <c r="Z1197"/>
      <c r="AA1197" s="33"/>
    </row>
    <row r="1198" spans="1:27" s="31" customFormat="1">
      <c r="A1198" s="34"/>
      <c r="B1198" s="76"/>
      <c r="C1198" s="76"/>
      <c r="D1198" s="44"/>
      <c r="E1198" s="44"/>
      <c r="F1198" s="44"/>
      <c r="G1198" s="44"/>
      <c r="H1198" s="44"/>
      <c r="I1198" s="44"/>
      <c r="J1198" s="44"/>
      <c r="K1198" s="44"/>
      <c r="L1198" s="44"/>
      <c r="M1198" s="44"/>
      <c r="N1198" s="37"/>
      <c r="O1198" s="38"/>
      <c r="P1198" s="34"/>
      <c r="Q1198" s="34"/>
      <c r="R1198" s="76"/>
      <c r="S1198" s="47"/>
      <c r="T1198" s="42"/>
      <c r="U1198" s="147"/>
      <c r="W1198" s="73"/>
      <c r="X1198"/>
      <c r="Y1198" s="69"/>
      <c r="Z1198"/>
      <c r="AA1198" s="33"/>
    </row>
    <row r="1199" spans="1:27" s="31" customFormat="1">
      <c r="A1199" s="34"/>
      <c r="B1199" s="76"/>
      <c r="C1199" s="76"/>
      <c r="D1199" s="44"/>
      <c r="E1199" s="44"/>
      <c r="F1199" s="44"/>
      <c r="G1199" s="44"/>
      <c r="H1199" s="44"/>
      <c r="I1199" s="44"/>
      <c r="J1199" s="44"/>
      <c r="K1199" s="44"/>
      <c r="L1199" s="44"/>
      <c r="M1199" s="44"/>
      <c r="N1199" s="37"/>
      <c r="O1199" s="38"/>
      <c r="P1199" s="34"/>
      <c r="Q1199" s="34"/>
      <c r="R1199" s="76"/>
      <c r="S1199" s="47"/>
      <c r="T1199" s="42"/>
      <c r="U1199" s="147"/>
      <c r="W1199" s="73"/>
      <c r="X1199"/>
      <c r="Y1199" s="69"/>
      <c r="Z1199"/>
      <c r="AA1199" s="33"/>
    </row>
    <row r="1200" spans="1:27" s="31" customFormat="1">
      <c r="A1200" s="34"/>
      <c r="B1200" s="76"/>
      <c r="C1200" s="76"/>
      <c r="D1200" s="44"/>
      <c r="E1200" s="44"/>
      <c r="F1200" s="44"/>
      <c r="G1200" s="44"/>
      <c r="H1200" s="44"/>
      <c r="I1200" s="44"/>
      <c r="J1200" s="44"/>
      <c r="K1200" s="44"/>
      <c r="L1200" s="44"/>
      <c r="M1200" s="44"/>
      <c r="N1200" s="37"/>
      <c r="O1200" s="38"/>
      <c r="P1200" s="34"/>
      <c r="Q1200" s="34"/>
      <c r="R1200" s="76"/>
      <c r="S1200" s="47"/>
      <c r="T1200" s="42"/>
      <c r="U1200" s="147"/>
      <c r="W1200" s="73"/>
      <c r="X1200"/>
      <c r="Y1200" s="69"/>
      <c r="Z1200"/>
      <c r="AA1200" s="33"/>
    </row>
    <row r="1201" spans="1:27" s="31" customFormat="1">
      <c r="A1201" s="34"/>
      <c r="B1201" s="76"/>
      <c r="C1201" s="76"/>
      <c r="D1201" s="44"/>
      <c r="E1201" s="44"/>
      <c r="F1201" s="44"/>
      <c r="G1201" s="44"/>
      <c r="H1201" s="44"/>
      <c r="I1201" s="44"/>
      <c r="J1201" s="44"/>
      <c r="K1201" s="44"/>
      <c r="L1201" s="44"/>
      <c r="M1201" s="44"/>
      <c r="N1201" s="37"/>
      <c r="O1201" s="38"/>
      <c r="P1201" s="34"/>
      <c r="Q1201" s="34"/>
      <c r="R1201" s="76"/>
      <c r="S1201" s="47"/>
      <c r="T1201" s="42"/>
      <c r="U1201" s="147"/>
      <c r="W1201" s="73"/>
      <c r="X1201"/>
      <c r="Y1201" s="69"/>
      <c r="Z1201"/>
      <c r="AA1201" s="33"/>
    </row>
    <row r="1202" spans="1:27" s="31" customFormat="1">
      <c r="A1202" s="34"/>
      <c r="B1202" s="76"/>
      <c r="C1202" s="76"/>
      <c r="D1202" s="44"/>
      <c r="E1202" s="44"/>
      <c r="F1202" s="44"/>
      <c r="G1202" s="44"/>
      <c r="H1202" s="44"/>
      <c r="I1202" s="44"/>
      <c r="J1202" s="44"/>
      <c r="K1202" s="44"/>
      <c r="L1202" s="44"/>
      <c r="M1202" s="44"/>
      <c r="N1202" s="37"/>
      <c r="O1202" s="38"/>
      <c r="P1202" s="34"/>
      <c r="Q1202" s="34"/>
      <c r="R1202" s="76"/>
      <c r="S1202" s="47"/>
      <c r="T1202" s="42"/>
      <c r="U1202" s="147"/>
      <c r="W1202" s="73"/>
      <c r="X1202"/>
      <c r="Y1202" s="69"/>
      <c r="Z1202"/>
      <c r="AA1202" s="33"/>
    </row>
    <row r="1203" spans="1:27" s="31" customFormat="1">
      <c r="A1203" s="34"/>
      <c r="B1203" s="76"/>
      <c r="C1203" s="76"/>
      <c r="D1203" s="44"/>
      <c r="E1203" s="44"/>
      <c r="F1203" s="44"/>
      <c r="G1203" s="44"/>
      <c r="H1203" s="44"/>
      <c r="I1203" s="44"/>
      <c r="J1203" s="44"/>
      <c r="K1203" s="44"/>
      <c r="L1203" s="44"/>
      <c r="M1203" s="44"/>
      <c r="N1203" s="37"/>
      <c r="O1203" s="38"/>
      <c r="P1203" s="34"/>
      <c r="Q1203" s="34"/>
      <c r="R1203" s="76"/>
      <c r="S1203" s="47"/>
      <c r="T1203" s="42"/>
      <c r="U1203" s="147"/>
      <c r="W1203" s="73"/>
      <c r="X1203"/>
      <c r="Y1203" s="69"/>
      <c r="Z1203"/>
      <c r="AA1203" s="33"/>
    </row>
    <row r="1204" spans="1:27" s="31" customFormat="1">
      <c r="A1204" s="34"/>
      <c r="B1204" s="76"/>
      <c r="C1204" s="76"/>
      <c r="D1204" s="44"/>
      <c r="E1204" s="44"/>
      <c r="F1204" s="44"/>
      <c r="G1204" s="44"/>
      <c r="H1204" s="44"/>
      <c r="I1204" s="44"/>
      <c r="J1204" s="44"/>
      <c r="K1204" s="44"/>
      <c r="L1204" s="44"/>
      <c r="M1204" s="44"/>
      <c r="N1204" s="37"/>
      <c r="O1204" s="38"/>
      <c r="P1204" s="34"/>
      <c r="Q1204" s="34"/>
      <c r="R1204" s="76"/>
      <c r="S1204" s="47"/>
      <c r="T1204" s="42"/>
      <c r="U1204" s="147"/>
      <c r="W1204" s="73"/>
      <c r="X1204"/>
      <c r="Y1204" s="69"/>
      <c r="Z1204"/>
      <c r="AA1204" s="33"/>
    </row>
    <row r="1205" spans="1:27" s="31" customFormat="1">
      <c r="A1205" s="34"/>
      <c r="B1205" s="76"/>
      <c r="C1205" s="76"/>
      <c r="D1205" s="44"/>
      <c r="E1205" s="44"/>
      <c r="F1205" s="44"/>
      <c r="G1205" s="44"/>
      <c r="H1205" s="44"/>
      <c r="I1205" s="44"/>
      <c r="J1205" s="44"/>
      <c r="K1205" s="44"/>
      <c r="L1205" s="44"/>
      <c r="M1205" s="44"/>
      <c r="N1205" s="37"/>
      <c r="O1205" s="38"/>
      <c r="P1205" s="34"/>
      <c r="Q1205" s="34"/>
      <c r="R1205" s="76"/>
      <c r="S1205" s="47"/>
      <c r="T1205" s="42"/>
      <c r="U1205" s="147"/>
      <c r="W1205" s="73"/>
      <c r="X1205"/>
      <c r="Y1205" s="69"/>
      <c r="Z1205"/>
      <c r="AA1205" s="33"/>
    </row>
    <row r="1206" spans="1:27" s="31" customFormat="1">
      <c r="A1206" s="34"/>
      <c r="B1206" s="76"/>
      <c r="C1206" s="76"/>
      <c r="D1206" s="44"/>
      <c r="E1206" s="44"/>
      <c r="F1206" s="44"/>
      <c r="G1206" s="44"/>
      <c r="H1206" s="44"/>
      <c r="I1206" s="44"/>
      <c r="J1206" s="44"/>
      <c r="K1206" s="44"/>
      <c r="L1206" s="44"/>
      <c r="M1206" s="44"/>
      <c r="N1206" s="37"/>
      <c r="O1206" s="38"/>
      <c r="P1206" s="34"/>
      <c r="Q1206" s="34"/>
      <c r="R1206" s="76"/>
      <c r="S1206" s="47"/>
      <c r="T1206" s="42"/>
      <c r="U1206" s="147"/>
      <c r="W1206" s="73"/>
      <c r="X1206"/>
      <c r="Y1206" s="69"/>
      <c r="Z1206"/>
      <c r="AA1206" s="33"/>
    </row>
    <row r="1207" spans="1:27" s="31" customFormat="1">
      <c r="A1207" s="34"/>
      <c r="B1207" s="76"/>
      <c r="C1207" s="76"/>
      <c r="D1207" s="44"/>
      <c r="E1207" s="44"/>
      <c r="F1207" s="44"/>
      <c r="G1207" s="44"/>
      <c r="H1207" s="44"/>
      <c r="I1207" s="44"/>
      <c r="J1207" s="44"/>
      <c r="K1207" s="44"/>
      <c r="L1207" s="44"/>
      <c r="M1207" s="44"/>
      <c r="N1207" s="37"/>
      <c r="O1207" s="38"/>
      <c r="P1207" s="34"/>
      <c r="Q1207" s="34"/>
      <c r="R1207" s="76"/>
      <c r="S1207" s="47"/>
      <c r="T1207" s="42"/>
      <c r="U1207" s="147"/>
      <c r="W1207" s="73"/>
      <c r="X1207"/>
      <c r="Y1207" s="69"/>
      <c r="Z1207"/>
      <c r="AA1207" s="33"/>
    </row>
    <row r="1208" spans="1:27" s="31" customFormat="1">
      <c r="A1208" s="34"/>
      <c r="B1208" s="76"/>
      <c r="C1208" s="76"/>
      <c r="D1208" s="44"/>
      <c r="E1208" s="44"/>
      <c r="F1208" s="44"/>
      <c r="G1208" s="44"/>
      <c r="H1208" s="44"/>
      <c r="I1208" s="44"/>
      <c r="J1208" s="44"/>
      <c r="K1208" s="44"/>
      <c r="L1208" s="44"/>
      <c r="M1208" s="44"/>
      <c r="N1208" s="37"/>
      <c r="O1208" s="38"/>
      <c r="P1208" s="34"/>
      <c r="Q1208" s="34"/>
      <c r="R1208" s="76"/>
      <c r="S1208" s="47"/>
      <c r="T1208" s="42"/>
      <c r="U1208" s="147"/>
      <c r="W1208" s="73"/>
      <c r="X1208"/>
      <c r="Y1208" s="69"/>
      <c r="Z1208"/>
      <c r="AA1208" s="33"/>
    </row>
    <row r="1209" spans="1:27" s="31" customFormat="1">
      <c r="A1209" s="34"/>
      <c r="B1209" s="76"/>
      <c r="C1209" s="76"/>
      <c r="D1209" s="44"/>
      <c r="E1209" s="44"/>
      <c r="F1209" s="44"/>
      <c r="G1209" s="44"/>
      <c r="H1209" s="44"/>
      <c r="I1209" s="44"/>
      <c r="J1209" s="44"/>
      <c r="K1209" s="44"/>
      <c r="L1209" s="44"/>
      <c r="M1209" s="44"/>
      <c r="N1209" s="37"/>
      <c r="O1209" s="38"/>
      <c r="P1209" s="34"/>
      <c r="Q1209" s="34"/>
      <c r="R1209" s="76"/>
      <c r="S1209" s="47"/>
      <c r="T1209" s="42"/>
      <c r="U1209" s="147"/>
      <c r="W1209" s="73"/>
      <c r="X1209"/>
      <c r="Y1209" s="69"/>
      <c r="Z1209"/>
      <c r="AA1209" s="33"/>
    </row>
    <row r="1210" spans="1:27" s="31" customFormat="1">
      <c r="A1210" s="34"/>
      <c r="B1210" s="76"/>
      <c r="C1210" s="76"/>
      <c r="D1210" s="44"/>
      <c r="E1210" s="44"/>
      <c r="F1210" s="44"/>
      <c r="G1210" s="44"/>
      <c r="H1210" s="44"/>
      <c r="I1210" s="44"/>
      <c r="J1210" s="44"/>
      <c r="K1210" s="44"/>
      <c r="L1210" s="44"/>
      <c r="M1210" s="44"/>
      <c r="N1210" s="37"/>
      <c r="O1210" s="38"/>
      <c r="P1210" s="34"/>
      <c r="Q1210" s="34"/>
      <c r="R1210" s="76"/>
      <c r="S1210" s="47"/>
      <c r="T1210" s="42"/>
      <c r="U1210" s="147"/>
      <c r="W1210" s="73"/>
      <c r="X1210"/>
      <c r="Y1210" s="69"/>
      <c r="Z1210"/>
      <c r="AA1210" s="33"/>
    </row>
    <row r="1211" spans="1:27" s="31" customFormat="1">
      <c r="A1211" s="34"/>
      <c r="B1211" s="76"/>
      <c r="C1211" s="76"/>
      <c r="D1211" s="44"/>
      <c r="E1211" s="44"/>
      <c r="F1211" s="44"/>
      <c r="G1211" s="44"/>
      <c r="H1211" s="44"/>
      <c r="I1211" s="44"/>
      <c r="J1211" s="44"/>
      <c r="K1211" s="44"/>
      <c r="L1211" s="44"/>
      <c r="M1211" s="44"/>
      <c r="N1211" s="37"/>
      <c r="O1211" s="38"/>
      <c r="P1211" s="34"/>
      <c r="Q1211" s="34"/>
      <c r="R1211" s="76"/>
      <c r="S1211" s="47"/>
      <c r="T1211" s="42"/>
      <c r="U1211" s="147"/>
      <c r="W1211" s="73"/>
      <c r="X1211"/>
      <c r="Y1211" s="69"/>
      <c r="Z1211"/>
      <c r="AA1211" s="33"/>
    </row>
    <row r="1212" spans="1:27" s="31" customFormat="1">
      <c r="A1212" s="34"/>
      <c r="B1212" s="76"/>
      <c r="C1212" s="76"/>
      <c r="D1212" s="44"/>
      <c r="E1212" s="44"/>
      <c r="F1212" s="44"/>
      <c r="G1212" s="44"/>
      <c r="H1212" s="44"/>
      <c r="I1212" s="44"/>
      <c r="J1212" s="44"/>
      <c r="K1212" s="44"/>
      <c r="L1212" s="44"/>
      <c r="M1212" s="44"/>
      <c r="N1212" s="37"/>
      <c r="O1212" s="38"/>
      <c r="P1212" s="34"/>
      <c r="Q1212" s="34"/>
      <c r="R1212" s="76"/>
      <c r="S1212" s="47"/>
      <c r="T1212" s="42"/>
      <c r="U1212" s="147"/>
      <c r="W1212" s="73"/>
      <c r="X1212"/>
      <c r="Y1212" s="69"/>
      <c r="Z1212"/>
      <c r="AA1212" s="33"/>
    </row>
    <row r="1213" spans="1:27" s="31" customFormat="1">
      <c r="A1213" s="34"/>
      <c r="B1213" s="76"/>
      <c r="C1213" s="76"/>
      <c r="D1213" s="44"/>
      <c r="E1213" s="44"/>
      <c r="F1213" s="44"/>
      <c r="G1213" s="44"/>
      <c r="H1213" s="44"/>
      <c r="I1213" s="44"/>
      <c r="J1213" s="44"/>
      <c r="K1213" s="44"/>
      <c r="L1213" s="44"/>
      <c r="M1213" s="44"/>
      <c r="N1213" s="37"/>
      <c r="O1213" s="38"/>
      <c r="P1213" s="34"/>
      <c r="Q1213" s="34"/>
      <c r="R1213" s="76"/>
      <c r="S1213" s="47"/>
      <c r="T1213" s="42"/>
      <c r="U1213" s="147"/>
      <c r="W1213" s="73"/>
      <c r="X1213"/>
      <c r="Y1213" s="69"/>
      <c r="Z1213"/>
      <c r="AA1213" s="33"/>
    </row>
    <row r="1214" spans="1:27" s="31" customFormat="1">
      <c r="A1214" s="34"/>
      <c r="B1214" s="76"/>
      <c r="C1214" s="76"/>
      <c r="D1214" s="44"/>
      <c r="E1214" s="44"/>
      <c r="F1214" s="44"/>
      <c r="G1214" s="44"/>
      <c r="H1214" s="44"/>
      <c r="I1214" s="44"/>
      <c r="J1214" s="44"/>
      <c r="K1214" s="44"/>
      <c r="L1214" s="44"/>
      <c r="M1214" s="44"/>
      <c r="N1214" s="37"/>
      <c r="O1214" s="38"/>
      <c r="P1214" s="34"/>
      <c r="Q1214" s="34"/>
      <c r="R1214" s="76"/>
      <c r="S1214" s="47"/>
      <c r="T1214" s="42"/>
      <c r="U1214" s="147"/>
      <c r="W1214" s="73"/>
      <c r="X1214"/>
      <c r="Y1214" s="69"/>
      <c r="Z1214"/>
      <c r="AA1214" s="33"/>
    </row>
    <row r="1215" spans="1:27" s="31" customFormat="1">
      <c r="A1215" s="34"/>
      <c r="B1215" s="76"/>
      <c r="C1215" s="76"/>
      <c r="D1215" s="44"/>
      <c r="E1215" s="44"/>
      <c r="F1215" s="44"/>
      <c r="G1215" s="44"/>
      <c r="H1215" s="44"/>
      <c r="I1215" s="44"/>
      <c r="J1215" s="44"/>
      <c r="K1215" s="44"/>
      <c r="L1215" s="44"/>
      <c r="M1215" s="44"/>
      <c r="N1215" s="37"/>
      <c r="O1215" s="38"/>
      <c r="P1215" s="34"/>
      <c r="Q1215" s="34"/>
      <c r="R1215" s="76"/>
      <c r="S1215" s="47"/>
      <c r="T1215" s="42"/>
      <c r="U1215" s="147"/>
      <c r="W1215" s="73"/>
      <c r="X1215"/>
      <c r="Y1215" s="69"/>
      <c r="Z1215"/>
      <c r="AA1215" s="33"/>
    </row>
    <row r="1216" spans="1:27" s="31" customFormat="1">
      <c r="A1216" s="34"/>
      <c r="B1216" s="76"/>
      <c r="C1216" s="76"/>
      <c r="D1216" s="44"/>
      <c r="E1216" s="44"/>
      <c r="F1216" s="44"/>
      <c r="G1216" s="44"/>
      <c r="H1216" s="44"/>
      <c r="I1216" s="44"/>
      <c r="J1216" s="44"/>
      <c r="K1216" s="44"/>
      <c r="L1216" s="44"/>
      <c r="M1216" s="44"/>
      <c r="N1216" s="37"/>
      <c r="O1216" s="38"/>
      <c r="P1216" s="34"/>
      <c r="Q1216" s="34"/>
      <c r="R1216" s="76"/>
      <c r="S1216" s="47"/>
      <c r="T1216" s="42"/>
      <c r="U1216" s="147"/>
      <c r="W1216" s="73"/>
      <c r="X1216"/>
      <c r="Y1216" s="69"/>
      <c r="Z1216"/>
      <c r="AA1216" s="33"/>
    </row>
    <row r="1217" spans="1:27" s="31" customFormat="1">
      <c r="A1217" s="34"/>
      <c r="B1217" s="76"/>
      <c r="C1217" s="76"/>
      <c r="D1217" s="44"/>
      <c r="E1217" s="44"/>
      <c r="F1217" s="44"/>
      <c r="G1217" s="44"/>
      <c r="H1217" s="44"/>
      <c r="I1217" s="44"/>
      <c r="J1217" s="44"/>
      <c r="K1217" s="44"/>
      <c r="L1217" s="44"/>
      <c r="M1217" s="44"/>
      <c r="N1217" s="37"/>
      <c r="O1217" s="38"/>
      <c r="P1217" s="34"/>
      <c r="Q1217" s="34"/>
      <c r="R1217" s="76"/>
      <c r="S1217" s="47"/>
      <c r="T1217" s="42"/>
      <c r="U1217" s="147"/>
      <c r="W1217" s="73"/>
      <c r="X1217"/>
      <c r="Y1217" s="69"/>
      <c r="Z1217"/>
      <c r="AA1217" s="33"/>
    </row>
    <row r="1218" spans="1:27" s="31" customFormat="1">
      <c r="A1218" s="34"/>
      <c r="B1218" s="76"/>
      <c r="C1218" s="76"/>
      <c r="D1218" s="44"/>
      <c r="E1218" s="44"/>
      <c r="F1218" s="44"/>
      <c r="G1218" s="44"/>
      <c r="H1218" s="44"/>
      <c r="I1218" s="44"/>
      <c r="J1218" s="44"/>
      <c r="K1218" s="44"/>
      <c r="L1218" s="44"/>
      <c r="M1218" s="44"/>
      <c r="N1218" s="37"/>
      <c r="O1218" s="38"/>
      <c r="P1218" s="34"/>
      <c r="Q1218" s="34"/>
      <c r="R1218" s="76"/>
      <c r="S1218" s="47"/>
      <c r="T1218" s="42"/>
      <c r="U1218" s="147"/>
      <c r="W1218" s="73"/>
      <c r="X1218"/>
      <c r="Y1218" s="69"/>
      <c r="Z1218"/>
      <c r="AA1218" s="33"/>
    </row>
    <row r="1219" spans="1:27" s="31" customFormat="1">
      <c r="A1219" s="34"/>
      <c r="B1219" s="76"/>
      <c r="C1219" s="76"/>
      <c r="D1219" s="44"/>
      <c r="E1219" s="44"/>
      <c r="F1219" s="44"/>
      <c r="G1219" s="44"/>
      <c r="H1219" s="44"/>
      <c r="I1219" s="44"/>
      <c r="J1219" s="44"/>
      <c r="K1219" s="44"/>
      <c r="L1219" s="44"/>
      <c r="M1219" s="44"/>
      <c r="N1219" s="37"/>
      <c r="O1219" s="38"/>
      <c r="P1219" s="34"/>
      <c r="Q1219" s="34"/>
      <c r="R1219" s="76"/>
      <c r="S1219" s="47"/>
      <c r="T1219" s="42"/>
      <c r="U1219" s="147"/>
      <c r="W1219" s="73"/>
      <c r="X1219"/>
      <c r="Y1219" s="69"/>
      <c r="Z1219"/>
      <c r="AA1219" s="33"/>
    </row>
    <row r="1220" spans="1:27" s="31" customFormat="1">
      <c r="A1220" s="34"/>
      <c r="B1220" s="76"/>
      <c r="C1220" s="76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37"/>
      <c r="O1220" s="38"/>
      <c r="P1220" s="34"/>
      <c r="Q1220" s="34"/>
      <c r="R1220" s="76"/>
      <c r="S1220" s="47"/>
      <c r="T1220" s="42"/>
      <c r="U1220" s="147"/>
      <c r="W1220" s="73"/>
      <c r="X1220"/>
      <c r="Y1220" s="69"/>
      <c r="Z1220"/>
      <c r="AA1220" s="33"/>
    </row>
    <row r="1221" spans="1:27" s="31" customFormat="1">
      <c r="A1221" s="34"/>
      <c r="B1221" s="76"/>
      <c r="C1221" s="76"/>
      <c r="D1221" s="44"/>
      <c r="E1221" s="44"/>
      <c r="F1221" s="44"/>
      <c r="G1221" s="44"/>
      <c r="H1221" s="44"/>
      <c r="I1221" s="44"/>
      <c r="J1221" s="44"/>
      <c r="K1221" s="44"/>
      <c r="L1221" s="44"/>
      <c r="M1221" s="44"/>
      <c r="N1221" s="37"/>
      <c r="O1221" s="38"/>
      <c r="P1221" s="34"/>
      <c r="Q1221" s="34"/>
      <c r="R1221" s="76"/>
      <c r="S1221" s="47"/>
      <c r="T1221" s="42"/>
      <c r="U1221" s="147"/>
      <c r="W1221" s="73"/>
      <c r="X1221"/>
      <c r="Y1221" s="69"/>
      <c r="Z1221"/>
      <c r="AA1221" s="33"/>
    </row>
    <row r="1222" spans="1:27" s="31" customFormat="1">
      <c r="A1222" s="34"/>
      <c r="B1222" s="76"/>
      <c r="C1222" s="76"/>
      <c r="D1222" s="44"/>
      <c r="E1222" s="44"/>
      <c r="F1222" s="44"/>
      <c r="G1222" s="44"/>
      <c r="H1222" s="44"/>
      <c r="I1222" s="44"/>
      <c r="J1222" s="44"/>
      <c r="K1222" s="44"/>
      <c r="L1222" s="44"/>
      <c r="M1222" s="44"/>
      <c r="N1222" s="37"/>
      <c r="O1222" s="38"/>
      <c r="P1222" s="34"/>
      <c r="Q1222" s="34"/>
      <c r="R1222" s="76"/>
      <c r="S1222" s="47"/>
      <c r="T1222" s="42"/>
      <c r="U1222" s="147"/>
      <c r="W1222" s="73"/>
      <c r="X1222"/>
      <c r="Y1222" s="69"/>
      <c r="Z1222"/>
      <c r="AA1222" s="33"/>
    </row>
    <row r="1223" spans="1:27" s="31" customFormat="1">
      <c r="A1223" s="34"/>
      <c r="B1223" s="76"/>
      <c r="C1223" s="76"/>
      <c r="D1223" s="44"/>
      <c r="E1223" s="44"/>
      <c r="F1223" s="44"/>
      <c r="G1223" s="44"/>
      <c r="H1223" s="44"/>
      <c r="I1223" s="44"/>
      <c r="J1223" s="44"/>
      <c r="K1223" s="44"/>
      <c r="L1223" s="44"/>
      <c r="M1223" s="44"/>
      <c r="N1223" s="37"/>
      <c r="O1223" s="38"/>
      <c r="P1223" s="34"/>
      <c r="Q1223" s="34"/>
      <c r="R1223" s="76"/>
      <c r="S1223" s="47"/>
      <c r="T1223" s="42"/>
      <c r="U1223" s="147"/>
      <c r="W1223" s="73"/>
      <c r="X1223"/>
      <c r="Y1223" s="69"/>
      <c r="Z1223"/>
      <c r="AA1223" s="33"/>
    </row>
    <row r="1224" spans="1:27" s="31" customFormat="1">
      <c r="A1224" s="34"/>
      <c r="B1224" s="76"/>
      <c r="C1224" s="76"/>
      <c r="D1224" s="44"/>
      <c r="E1224" s="44"/>
      <c r="F1224" s="44"/>
      <c r="G1224" s="44"/>
      <c r="H1224" s="44"/>
      <c r="I1224" s="44"/>
      <c r="J1224" s="44"/>
      <c r="K1224" s="44"/>
      <c r="L1224" s="44"/>
      <c r="M1224" s="44"/>
      <c r="N1224" s="37"/>
      <c r="O1224" s="38"/>
      <c r="P1224" s="34"/>
      <c r="Q1224" s="34"/>
      <c r="R1224" s="76"/>
      <c r="S1224" s="47"/>
      <c r="T1224" s="42"/>
      <c r="U1224" s="147"/>
      <c r="W1224" s="73"/>
      <c r="X1224"/>
      <c r="Y1224" s="69"/>
      <c r="Z1224"/>
      <c r="AA1224" s="33"/>
    </row>
    <row r="1225" spans="1:27" s="31" customFormat="1">
      <c r="A1225" s="34"/>
      <c r="B1225" s="76"/>
      <c r="C1225" s="76"/>
      <c r="D1225" s="44"/>
      <c r="E1225" s="44"/>
      <c r="F1225" s="44"/>
      <c r="G1225" s="44"/>
      <c r="H1225" s="44"/>
      <c r="I1225" s="44"/>
      <c r="J1225" s="44"/>
      <c r="K1225" s="44"/>
      <c r="L1225" s="44"/>
      <c r="M1225" s="44"/>
      <c r="N1225" s="37"/>
      <c r="O1225" s="38"/>
      <c r="P1225" s="34"/>
      <c r="Q1225" s="34"/>
      <c r="R1225" s="76"/>
      <c r="S1225" s="47"/>
      <c r="T1225" s="42"/>
      <c r="U1225" s="147"/>
      <c r="W1225" s="73"/>
      <c r="X1225"/>
      <c r="Y1225" s="69"/>
      <c r="Z1225"/>
      <c r="AA1225" s="33"/>
    </row>
    <row r="1226" spans="1:27" s="31" customFormat="1">
      <c r="A1226" s="34"/>
      <c r="B1226" s="76"/>
      <c r="C1226" s="76"/>
      <c r="D1226" s="44"/>
      <c r="E1226" s="44"/>
      <c r="F1226" s="44"/>
      <c r="G1226" s="44"/>
      <c r="H1226" s="44"/>
      <c r="I1226" s="44"/>
      <c r="J1226" s="44"/>
      <c r="K1226" s="44"/>
      <c r="L1226" s="44"/>
      <c r="M1226" s="44"/>
      <c r="N1226" s="37"/>
      <c r="O1226" s="38"/>
      <c r="P1226" s="34"/>
      <c r="Q1226" s="34"/>
      <c r="R1226" s="76"/>
      <c r="S1226" s="47"/>
      <c r="T1226" s="42"/>
      <c r="U1226" s="147"/>
      <c r="W1226" s="73"/>
      <c r="X1226"/>
      <c r="Y1226" s="69"/>
      <c r="Z1226"/>
      <c r="AA1226" s="33"/>
    </row>
    <row r="1227" spans="1:27" s="31" customFormat="1">
      <c r="A1227" s="34"/>
      <c r="B1227" s="76"/>
      <c r="C1227" s="76"/>
      <c r="D1227" s="44"/>
      <c r="E1227" s="44"/>
      <c r="F1227" s="44"/>
      <c r="G1227" s="44"/>
      <c r="H1227" s="44"/>
      <c r="I1227" s="44"/>
      <c r="J1227" s="44"/>
      <c r="K1227" s="44"/>
      <c r="L1227" s="44"/>
      <c r="M1227" s="44"/>
      <c r="N1227" s="37"/>
      <c r="O1227" s="38"/>
      <c r="P1227" s="34"/>
      <c r="Q1227" s="34"/>
      <c r="R1227" s="76"/>
      <c r="S1227" s="47"/>
      <c r="T1227" s="42"/>
      <c r="U1227" s="147"/>
      <c r="W1227" s="73"/>
      <c r="X1227"/>
      <c r="Y1227" s="69"/>
      <c r="Z1227"/>
      <c r="AA1227" s="33"/>
    </row>
    <row r="1228" spans="1:27" s="31" customFormat="1">
      <c r="A1228" s="34"/>
      <c r="B1228" s="76"/>
      <c r="C1228" s="76"/>
      <c r="D1228" s="44"/>
      <c r="E1228" s="44"/>
      <c r="F1228" s="44"/>
      <c r="G1228" s="44"/>
      <c r="H1228" s="44"/>
      <c r="I1228" s="44"/>
      <c r="J1228" s="44"/>
      <c r="K1228" s="44"/>
      <c r="L1228" s="44"/>
      <c r="M1228" s="44"/>
      <c r="N1228" s="37"/>
      <c r="O1228" s="38"/>
      <c r="P1228" s="34"/>
      <c r="Q1228" s="34"/>
      <c r="R1228" s="76"/>
      <c r="S1228" s="47"/>
      <c r="T1228" s="42"/>
      <c r="U1228" s="147"/>
      <c r="W1228" s="73"/>
      <c r="X1228"/>
      <c r="Y1228" s="69"/>
      <c r="Z1228"/>
      <c r="AA1228" s="33"/>
    </row>
    <row r="1229" spans="1:27" s="31" customFormat="1">
      <c r="A1229" s="34"/>
      <c r="B1229" s="76"/>
      <c r="C1229" s="76"/>
      <c r="D1229" s="44"/>
      <c r="E1229" s="44"/>
      <c r="F1229" s="44"/>
      <c r="G1229" s="44"/>
      <c r="H1229" s="44"/>
      <c r="I1229" s="44"/>
      <c r="J1229" s="44"/>
      <c r="K1229" s="44"/>
      <c r="L1229" s="44"/>
      <c r="M1229" s="44"/>
      <c r="N1229" s="37"/>
      <c r="O1229" s="38"/>
      <c r="P1229" s="34"/>
      <c r="Q1229" s="34"/>
      <c r="R1229" s="76"/>
      <c r="S1229" s="47"/>
      <c r="T1229" s="42"/>
      <c r="U1229" s="147"/>
      <c r="W1229" s="73"/>
      <c r="X1229"/>
      <c r="Y1229" s="69"/>
      <c r="Z1229"/>
      <c r="AA1229" s="33"/>
    </row>
    <row r="1230" spans="1:27" s="31" customFormat="1">
      <c r="A1230" s="34"/>
      <c r="B1230" s="76"/>
      <c r="C1230" s="76"/>
      <c r="D1230" s="44"/>
      <c r="E1230" s="44"/>
      <c r="F1230" s="44"/>
      <c r="G1230" s="44"/>
      <c r="H1230" s="44"/>
      <c r="I1230" s="44"/>
      <c r="J1230" s="44"/>
      <c r="K1230" s="44"/>
      <c r="L1230" s="44"/>
      <c r="M1230" s="44"/>
      <c r="N1230" s="37"/>
      <c r="O1230" s="38"/>
      <c r="P1230" s="34"/>
      <c r="Q1230" s="39"/>
      <c r="R1230" s="84"/>
      <c r="S1230" s="47"/>
      <c r="T1230" s="42"/>
      <c r="U1230" s="147"/>
      <c r="W1230" s="73"/>
      <c r="X1230"/>
      <c r="Y1230" s="69"/>
      <c r="Z1230"/>
      <c r="AA1230" s="33"/>
    </row>
    <row r="1231" spans="1:27" s="31" customFormat="1">
      <c r="A1231" s="34"/>
      <c r="B1231" s="76"/>
      <c r="C1231" s="76"/>
      <c r="D1231" s="44"/>
      <c r="E1231" s="44"/>
      <c r="F1231" s="44"/>
      <c r="G1231" s="44"/>
      <c r="H1231" s="44"/>
      <c r="I1231" s="44"/>
      <c r="J1231" s="44"/>
      <c r="K1231" s="44"/>
      <c r="L1231" s="44"/>
      <c r="M1231" s="44"/>
      <c r="N1231" s="37"/>
      <c r="O1231" s="38"/>
      <c r="P1231" s="34"/>
      <c r="Q1231" s="39"/>
      <c r="R1231" s="84"/>
      <c r="S1231" s="47"/>
      <c r="T1231" s="42"/>
      <c r="U1231" s="147"/>
      <c r="W1231" s="73"/>
      <c r="X1231"/>
      <c r="Y1231" s="69"/>
      <c r="Z1231"/>
      <c r="AA1231" s="33"/>
    </row>
    <row r="1232" spans="1:27" s="31" customFormat="1">
      <c r="A1232" s="34"/>
      <c r="B1232" s="76"/>
      <c r="C1232" s="76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37"/>
      <c r="O1232" s="38"/>
      <c r="P1232" s="34"/>
      <c r="Q1232" s="39"/>
      <c r="R1232" s="84"/>
      <c r="S1232" s="47"/>
      <c r="T1232" s="42"/>
      <c r="U1232" s="147"/>
      <c r="W1232" s="73"/>
      <c r="X1232"/>
      <c r="Y1232" s="69"/>
      <c r="Z1232"/>
      <c r="AA1232" s="33"/>
    </row>
    <row r="1233" spans="1:27" s="31" customFormat="1">
      <c r="A1233" s="34"/>
      <c r="B1233" s="76"/>
      <c r="C1233" s="76"/>
      <c r="D1233" s="44"/>
      <c r="E1233" s="44"/>
      <c r="F1233" s="44"/>
      <c r="G1233" s="44"/>
      <c r="H1233" s="44"/>
      <c r="I1233" s="44"/>
      <c r="J1233" s="44"/>
      <c r="K1233" s="44"/>
      <c r="L1233" s="44"/>
      <c r="M1233" s="44"/>
      <c r="N1233" s="37"/>
      <c r="O1233" s="38"/>
      <c r="P1233" s="34"/>
      <c r="Q1233" s="39"/>
      <c r="R1233" s="84"/>
      <c r="S1233" s="47"/>
      <c r="T1233" s="42"/>
      <c r="U1233" s="147"/>
      <c r="W1233" s="73"/>
      <c r="X1233"/>
      <c r="Y1233" s="69"/>
      <c r="Z1233"/>
      <c r="AA1233" s="33"/>
    </row>
    <row r="1234" spans="1:27" s="31" customFormat="1">
      <c r="A1234" s="34"/>
      <c r="B1234" s="76"/>
      <c r="C1234" s="76"/>
      <c r="D1234" s="44"/>
      <c r="E1234" s="44"/>
      <c r="F1234" s="44"/>
      <c r="G1234" s="44"/>
      <c r="H1234" s="44"/>
      <c r="I1234" s="44"/>
      <c r="J1234" s="44"/>
      <c r="K1234" s="44"/>
      <c r="L1234" s="44"/>
      <c r="M1234" s="44"/>
      <c r="N1234" s="37"/>
      <c r="O1234" s="38"/>
      <c r="P1234" s="34"/>
      <c r="Q1234" s="39"/>
      <c r="R1234" s="84"/>
      <c r="S1234" s="47"/>
      <c r="T1234" s="42"/>
      <c r="U1234" s="147"/>
      <c r="W1234" s="73"/>
      <c r="X1234"/>
      <c r="Y1234" s="69"/>
      <c r="Z1234"/>
      <c r="AA1234" s="33"/>
    </row>
    <row r="1235" spans="1:27" s="31" customFormat="1">
      <c r="A1235" s="34"/>
      <c r="B1235" s="76"/>
      <c r="C1235" s="76"/>
      <c r="D1235" s="44"/>
      <c r="E1235" s="44"/>
      <c r="F1235" s="44"/>
      <c r="G1235" s="44"/>
      <c r="H1235" s="44"/>
      <c r="I1235" s="44"/>
      <c r="J1235" s="44"/>
      <c r="K1235" s="44"/>
      <c r="L1235" s="44"/>
      <c r="M1235" s="44"/>
      <c r="N1235" s="37"/>
      <c r="O1235" s="38"/>
      <c r="P1235" s="34"/>
      <c r="Q1235" s="39"/>
      <c r="R1235" s="84"/>
      <c r="S1235" s="47"/>
      <c r="T1235" s="42"/>
      <c r="U1235" s="147"/>
      <c r="W1235" s="73"/>
      <c r="X1235"/>
      <c r="Y1235" s="69"/>
      <c r="Z1235"/>
      <c r="AA1235" s="33"/>
    </row>
    <row r="1236" spans="1:27" s="31" customFormat="1">
      <c r="A1236" s="34"/>
      <c r="B1236" s="76"/>
      <c r="C1236" s="76"/>
      <c r="D1236" s="44"/>
      <c r="E1236" s="44"/>
      <c r="F1236" s="44"/>
      <c r="G1236" s="44"/>
      <c r="H1236" s="44"/>
      <c r="I1236" s="44"/>
      <c r="J1236" s="44"/>
      <c r="K1236" s="44"/>
      <c r="L1236" s="44"/>
      <c r="M1236" s="44"/>
      <c r="N1236" s="37"/>
      <c r="O1236" s="38"/>
      <c r="P1236" s="34"/>
      <c r="Q1236" s="39"/>
      <c r="R1236" s="84"/>
      <c r="S1236" s="47"/>
      <c r="T1236" s="42"/>
      <c r="U1236" s="147"/>
      <c r="W1236" s="73"/>
      <c r="X1236"/>
      <c r="Y1236" s="69"/>
      <c r="Z1236"/>
      <c r="AA1236" s="33"/>
    </row>
    <row r="1237" spans="1:27" s="31" customFormat="1">
      <c r="A1237" s="34"/>
      <c r="B1237" s="76"/>
      <c r="C1237" s="76"/>
      <c r="D1237" s="44"/>
      <c r="E1237" s="44"/>
      <c r="F1237" s="44"/>
      <c r="G1237" s="44"/>
      <c r="H1237" s="44"/>
      <c r="I1237" s="44"/>
      <c r="J1237" s="44"/>
      <c r="K1237" s="44"/>
      <c r="L1237" s="44"/>
      <c r="M1237" s="44"/>
      <c r="N1237" s="37"/>
      <c r="O1237" s="38"/>
      <c r="P1237" s="34"/>
      <c r="Q1237" s="39"/>
      <c r="R1237" s="84"/>
      <c r="S1237" s="47"/>
      <c r="T1237" s="42"/>
      <c r="U1237" s="147"/>
      <c r="W1237" s="73"/>
      <c r="X1237"/>
      <c r="Y1237" s="69"/>
      <c r="Z1237"/>
      <c r="AA1237" s="33"/>
    </row>
    <row r="1238" spans="1:27" s="31" customFormat="1">
      <c r="A1238" s="34"/>
      <c r="B1238" s="76"/>
      <c r="C1238" s="76"/>
      <c r="D1238" s="44"/>
      <c r="E1238" s="44"/>
      <c r="F1238" s="44"/>
      <c r="G1238" s="44"/>
      <c r="H1238" s="44"/>
      <c r="I1238" s="44"/>
      <c r="J1238" s="44"/>
      <c r="K1238" s="44"/>
      <c r="L1238" s="44"/>
      <c r="M1238" s="44"/>
      <c r="N1238" s="37"/>
      <c r="O1238" s="38"/>
      <c r="P1238" s="34"/>
      <c r="Q1238" s="39"/>
      <c r="R1238" s="84"/>
      <c r="S1238" s="47"/>
      <c r="T1238" s="42"/>
      <c r="U1238" s="147"/>
      <c r="W1238" s="73"/>
      <c r="X1238"/>
      <c r="Y1238" s="69"/>
      <c r="Z1238"/>
      <c r="AA1238" s="33"/>
    </row>
    <row r="1239" spans="1:27" s="31" customFormat="1">
      <c r="A1239" s="34"/>
      <c r="B1239" s="76"/>
      <c r="C1239" s="76"/>
      <c r="D1239" s="44"/>
      <c r="E1239" s="44"/>
      <c r="F1239" s="44"/>
      <c r="G1239" s="44"/>
      <c r="H1239" s="44"/>
      <c r="I1239" s="44"/>
      <c r="J1239" s="44"/>
      <c r="K1239" s="44"/>
      <c r="L1239" s="44"/>
      <c r="M1239" s="44"/>
      <c r="N1239" s="37"/>
      <c r="O1239" s="38"/>
      <c r="P1239" s="34"/>
      <c r="Q1239" s="39"/>
      <c r="R1239" s="84"/>
      <c r="S1239" s="47"/>
      <c r="T1239" s="42"/>
      <c r="U1239" s="147"/>
      <c r="W1239" s="73"/>
      <c r="X1239"/>
      <c r="Y1239" s="69"/>
      <c r="Z1239"/>
      <c r="AA1239" s="33"/>
    </row>
    <row r="1240" spans="1:27" s="31" customFormat="1">
      <c r="A1240" s="34"/>
      <c r="B1240" s="76"/>
      <c r="C1240" s="76"/>
      <c r="D1240" s="44"/>
      <c r="E1240" s="44"/>
      <c r="F1240" s="44"/>
      <c r="G1240" s="44"/>
      <c r="H1240" s="44"/>
      <c r="I1240" s="44"/>
      <c r="J1240" s="44"/>
      <c r="K1240" s="44"/>
      <c r="L1240" s="44"/>
      <c r="M1240" s="44"/>
      <c r="N1240" s="37"/>
      <c r="O1240" s="38"/>
      <c r="P1240" s="34"/>
      <c r="Q1240" s="39"/>
      <c r="R1240" s="84"/>
      <c r="S1240" s="47"/>
      <c r="T1240" s="42"/>
      <c r="U1240" s="147"/>
      <c r="W1240" s="73"/>
      <c r="X1240"/>
      <c r="Y1240" s="69"/>
      <c r="Z1240"/>
      <c r="AA1240" s="33"/>
    </row>
    <row r="1241" spans="1:27" s="31" customFormat="1">
      <c r="A1241" s="34"/>
      <c r="B1241" s="76"/>
      <c r="C1241" s="76"/>
      <c r="D1241" s="44"/>
      <c r="E1241" s="44"/>
      <c r="F1241" s="44"/>
      <c r="G1241" s="44"/>
      <c r="H1241" s="44"/>
      <c r="I1241" s="44"/>
      <c r="J1241" s="44"/>
      <c r="K1241" s="44"/>
      <c r="L1241" s="44"/>
      <c r="M1241" s="44"/>
      <c r="N1241" s="37"/>
      <c r="O1241" s="38"/>
      <c r="P1241" s="34"/>
      <c r="Q1241" s="39"/>
      <c r="R1241" s="84"/>
      <c r="S1241" s="47"/>
      <c r="T1241" s="42"/>
      <c r="U1241" s="147"/>
      <c r="W1241" s="73"/>
      <c r="X1241"/>
      <c r="Y1241" s="69"/>
      <c r="Z1241"/>
      <c r="AA1241" s="33"/>
    </row>
    <row r="1242" spans="1:27" s="31" customFormat="1">
      <c r="A1242" s="34"/>
      <c r="B1242" s="76"/>
      <c r="C1242" s="76"/>
      <c r="D1242" s="44"/>
      <c r="E1242" s="44"/>
      <c r="F1242" s="44"/>
      <c r="G1242" s="44"/>
      <c r="H1242" s="44"/>
      <c r="I1242" s="44"/>
      <c r="J1242" s="44"/>
      <c r="K1242" s="44"/>
      <c r="L1242" s="44"/>
      <c r="M1242" s="44"/>
      <c r="N1242" s="37"/>
      <c r="O1242" s="38"/>
      <c r="P1242" s="34"/>
      <c r="Q1242" s="39"/>
      <c r="R1242" s="84"/>
      <c r="S1242" s="47"/>
      <c r="T1242" s="42"/>
      <c r="U1242" s="147"/>
      <c r="W1242" s="73"/>
      <c r="X1242"/>
      <c r="Y1242" s="69"/>
      <c r="Z1242"/>
      <c r="AA1242" s="33"/>
    </row>
    <row r="1243" spans="1:27" s="31" customFormat="1">
      <c r="A1243" s="34"/>
      <c r="B1243" s="76"/>
      <c r="C1243" s="76"/>
      <c r="D1243" s="44"/>
      <c r="E1243" s="44"/>
      <c r="F1243" s="44"/>
      <c r="G1243" s="44"/>
      <c r="H1243" s="44"/>
      <c r="I1243" s="44"/>
      <c r="J1243" s="44"/>
      <c r="K1243" s="44"/>
      <c r="L1243" s="44"/>
      <c r="M1243" s="44"/>
      <c r="N1243" s="37"/>
      <c r="O1243" s="38"/>
      <c r="P1243" s="34"/>
      <c r="Q1243" s="39"/>
      <c r="R1243" s="84"/>
      <c r="S1243" s="47"/>
      <c r="T1243" s="42"/>
      <c r="U1243" s="147"/>
      <c r="W1243" s="73"/>
      <c r="X1243"/>
      <c r="Y1243" s="69"/>
      <c r="Z1243"/>
      <c r="AA1243" s="33"/>
    </row>
    <row r="1244" spans="1:27" s="31" customFormat="1">
      <c r="A1244" s="34"/>
      <c r="B1244" s="76"/>
      <c r="C1244" s="76"/>
      <c r="D1244" s="44"/>
      <c r="E1244" s="44"/>
      <c r="F1244" s="44"/>
      <c r="G1244" s="44"/>
      <c r="H1244" s="44"/>
      <c r="I1244" s="44"/>
      <c r="J1244" s="44"/>
      <c r="K1244" s="44"/>
      <c r="L1244" s="44"/>
      <c r="M1244" s="44"/>
      <c r="N1244" s="37"/>
      <c r="O1244" s="38"/>
      <c r="P1244" s="34"/>
      <c r="Q1244" s="39"/>
      <c r="R1244" s="84"/>
      <c r="S1244" s="47"/>
      <c r="T1244" s="42"/>
      <c r="U1244" s="147"/>
      <c r="W1244" s="73"/>
      <c r="X1244"/>
      <c r="Y1244" s="69"/>
      <c r="Z1244"/>
      <c r="AA1244" s="33"/>
    </row>
    <row r="1245" spans="1:27" s="31" customFormat="1">
      <c r="A1245" s="34"/>
      <c r="B1245" s="76"/>
      <c r="C1245" s="76"/>
      <c r="D1245" s="44"/>
      <c r="E1245" s="44"/>
      <c r="F1245" s="44"/>
      <c r="G1245" s="44"/>
      <c r="H1245" s="44"/>
      <c r="I1245" s="44"/>
      <c r="J1245" s="44"/>
      <c r="K1245" s="44"/>
      <c r="L1245" s="44"/>
      <c r="M1245" s="44"/>
      <c r="N1245" s="37"/>
      <c r="O1245" s="38"/>
      <c r="P1245" s="34"/>
      <c r="Q1245" s="39"/>
      <c r="R1245" s="84"/>
      <c r="S1245" s="47"/>
      <c r="T1245" s="42"/>
      <c r="U1245" s="147"/>
      <c r="W1245" s="73"/>
      <c r="X1245"/>
      <c r="Y1245" s="69"/>
      <c r="Z1245"/>
      <c r="AA1245" s="33"/>
    </row>
    <row r="1246" spans="1:27" s="31" customFormat="1">
      <c r="A1246" s="34"/>
      <c r="B1246" s="76"/>
      <c r="C1246" s="76"/>
      <c r="D1246" s="44"/>
      <c r="E1246" s="44"/>
      <c r="F1246" s="44"/>
      <c r="G1246" s="44"/>
      <c r="H1246" s="44"/>
      <c r="I1246" s="44"/>
      <c r="J1246" s="44"/>
      <c r="K1246" s="44"/>
      <c r="L1246" s="44"/>
      <c r="M1246" s="44"/>
      <c r="N1246" s="37"/>
      <c r="O1246" s="38"/>
      <c r="P1246" s="34"/>
      <c r="Q1246" s="39"/>
      <c r="R1246" s="84"/>
      <c r="S1246" s="47"/>
      <c r="T1246" s="42"/>
      <c r="U1246" s="147"/>
      <c r="W1246" s="73"/>
      <c r="X1246"/>
      <c r="Y1246" s="69"/>
      <c r="Z1246"/>
      <c r="AA1246" s="33"/>
    </row>
    <row r="1247" spans="1:27" s="31" customFormat="1">
      <c r="A1247" s="34"/>
      <c r="B1247" s="76"/>
      <c r="C1247" s="76"/>
      <c r="D1247" s="44"/>
      <c r="E1247" s="44"/>
      <c r="F1247" s="44"/>
      <c r="G1247" s="44"/>
      <c r="H1247" s="44"/>
      <c r="I1247" s="44"/>
      <c r="J1247" s="44"/>
      <c r="K1247" s="44"/>
      <c r="L1247" s="44"/>
      <c r="M1247" s="44"/>
      <c r="N1247" s="37"/>
      <c r="O1247" s="38"/>
      <c r="P1247" s="34"/>
      <c r="Q1247" s="34"/>
      <c r="R1247" s="76"/>
      <c r="S1247" s="47"/>
      <c r="T1247" s="42"/>
      <c r="U1247" s="147"/>
      <c r="W1247" s="73"/>
      <c r="X1247"/>
      <c r="Y1247" s="69"/>
      <c r="Z1247"/>
      <c r="AA1247" s="33"/>
    </row>
    <row r="1248" spans="1:27" s="31" customFormat="1">
      <c r="A1248" s="34"/>
      <c r="B1248" s="76"/>
      <c r="C1248" s="76"/>
      <c r="D1248" s="44"/>
      <c r="E1248" s="44"/>
      <c r="F1248" s="44"/>
      <c r="G1248" s="44"/>
      <c r="H1248" s="44"/>
      <c r="I1248" s="44"/>
      <c r="J1248" s="44"/>
      <c r="K1248" s="44"/>
      <c r="L1248" s="44"/>
      <c r="M1248" s="44"/>
      <c r="N1248" s="37"/>
      <c r="O1248" s="38"/>
      <c r="P1248" s="34"/>
      <c r="Q1248" s="34"/>
      <c r="R1248" s="76"/>
      <c r="S1248" s="47"/>
      <c r="T1248" s="42"/>
      <c r="U1248" s="147"/>
      <c r="W1248" s="73"/>
      <c r="X1248"/>
      <c r="Y1248" s="69"/>
      <c r="Z1248"/>
      <c r="AA1248" s="33"/>
    </row>
    <row r="1249" spans="1:27" s="31" customFormat="1">
      <c r="A1249" s="34"/>
      <c r="B1249" s="76"/>
      <c r="C1249" s="76"/>
      <c r="D1249" s="44"/>
      <c r="E1249" s="44"/>
      <c r="F1249" s="44"/>
      <c r="G1249" s="44"/>
      <c r="H1249" s="44"/>
      <c r="I1249" s="44"/>
      <c r="J1249" s="44"/>
      <c r="K1249" s="44"/>
      <c r="L1249" s="44"/>
      <c r="M1249" s="44"/>
      <c r="N1249" s="37"/>
      <c r="O1249" s="38"/>
      <c r="P1249" s="34"/>
      <c r="Q1249" s="34"/>
      <c r="R1249" s="76"/>
      <c r="S1249" s="47"/>
      <c r="T1249" s="42"/>
      <c r="U1249" s="147"/>
      <c r="W1249" s="73"/>
      <c r="X1249"/>
      <c r="Y1249" s="69"/>
      <c r="Z1249"/>
      <c r="AA1249" s="33"/>
    </row>
    <row r="1250" spans="1:27" s="31" customFormat="1">
      <c r="A1250" s="34"/>
      <c r="B1250" s="76"/>
      <c r="C1250" s="76"/>
      <c r="D1250" s="44"/>
      <c r="E1250" s="44"/>
      <c r="F1250" s="44"/>
      <c r="G1250" s="44"/>
      <c r="H1250" s="44"/>
      <c r="I1250" s="44"/>
      <c r="J1250" s="44"/>
      <c r="K1250" s="44"/>
      <c r="L1250" s="44"/>
      <c r="M1250" s="44"/>
      <c r="N1250" s="37"/>
      <c r="O1250" s="38"/>
      <c r="P1250" s="34"/>
      <c r="Q1250" s="34"/>
      <c r="R1250" s="76"/>
      <c r="S1250" s="47"/>
      <c r="T1250" s="42"/>
      <c r="U1250" s="147"/>
      <c r="W1250" s="73"/>
      <c r="X1250"/>
      <c r="Y1250" s="69"/>
      <c r="Z1250"/>
      <c r="AA1250" s="33"/>
    </row>
    <row r="1251" spans="1:27" s="31" customFormat="1">
      <c r="A1251" s="34"/>
      <c r="B1251" s="76"/>
      <c r="C1251" s="76"/>
      <c r="D1251" s="44"/>
      <c r="E1251" s="44"/>
      <c r="F1251" s="44"/>
      <c r="G1251" s="44"/>
      <c r="H1251" s="44"/>
      <c r="I1251" s="44"/>
      <c r="J1251" s="44"/>
      <c r="K1251" s="44"/>
      <c r="L1251" s="44"/>
      <c r="M1251" s="44"/>
      <c r="N1251" s="37"/>
      <c r="O1251" s="38"/>
      <c r="P1251" s="34"/>
      <c r="Q1251" s="34"/>
      <c r="R1251" s="76"/>
      <c r="S1251" s="47"/>
      <c r="T1251" s="42"/>
      <c r="U1251" s="147"/>
      <c r="W1251" s="73"/>
      <c r="X1251"/>
      <c r="Y1251" s="69"/>
      <c r="Z1251"/>
      <c r="AA1251" s="33"/>
    </row>
    <row r="1252" spans="1:27" s="31" customFormat="1">
      <c r="A1252" s="34"/>
      <c r="B1252" s="76"/>
      <c r="C1252" s="76"/>
      <c r="D1252" s="44"/>
      <c r="E1252" s="44"/>
      <c r="F1252" s="44"/>
      <c r="G1252" s="44"/>
      <c r="H1252" s="44"/>
      <c r="I1252" s="44"/>
      <c r="J1252" s="44"/>
      <c r="K1252" s="44"/>
      <c r="L1252" s="44"/>
      <c r="M1252" s="44"/>
      <c r="N1252" s="37"/>
      <c r="O1252" s="38"/>
      <c r="P1252" s="34"/>
      <c r="Q1252" s="34"/>
      <c r="R1252" s="76"/>
      <c r="S1252" s="47"/>
      <c r="T1252" s="42"/>
      <c r="U1252" s="147"/>
      <c r="W1252" s="73"/>
      <c r="X1252"/>
      <c r="Y1252" s="69"/>
      <c r="Z1252"/>
      <c r="AA1252" s="33"/>
    </row>
    <row r="1253" spans="1:27" s="31" customFormat="1">
      <c r="A1253" s="34"/>
      <c r="B1253" s="76"/>
      <c r="C1253" s="76"/>
      <c r="D1253" s="44"/>
      <c r="E1253" s="44"/>
      <c r="F1253" s="44"/>
      <c r="G1253" s="44"/>
      <c r="H1253" s="44"/>
      <c r="I1253" s="44"/>
      <c r="J1253" s="44"/>
      <c r="K1253" s="44"/>
      <c r="L1253" s="44"/>
      <c r="M1253" s="44"/>
      <c r="N1253" s="37"/>
      <c r="O1253" s="38"/>
      <c r="P1253" s="34"/>
      <c r="Q1253" s="34"/>
      <c r="R1253" s="76"/>
      <c r="S1253" s="47"/>
      <c r="T1253" s="42"/>
      <c r="U1253" s="147"/>
      <c r="W1253" s="73"/>
      <c r="X1253"/>
      <c r="Y1253" s="69"/>
      <c r="Z1253"/>
      <c r="AA1253" s="33"/>
    </row>
    <row r="1254" spans="1:27" s="31" customFormat="1">
      <c r="A1254" s="34"/>
      <c r="B1254" s="76"/>
      <c r="C1254" s="76"/>
      <c r="D1254" s="44"/>
      <c r="E1254" s="44"/>
      <c r="F1254" s="44"/>
      <c r="G1254" s="44"/>
      <c r="H1254" s="44"/>
      <c r="I1254" s="44"/>
      <c r="J1254" s="44"/>
      <c r="K1254" s="44"/>
      <c r="L1254" s="44"/>
      <c r="M1254" s="44"/>
      <c r="N1254" s="37"/>
      <c r="O1254" s="38"/>
      <c r="P1254" s="34"/>
      <c r="Q1254" s="34"/>
      <c r="R1254" s="76"/>
      <c r="S1254" s="47"/>
      <c r="T1254" s="42"/>
      <c r="U1254" s="147"/>
      <c r="W1254" s="73"/>
      <c r="X1254"/>
      <c r="Y1254" s="69"/>
      <c r="Z1254"/>
      <c r="AA1254" s="33"/>
    </row>
    <row r="1255" spans="1:27" s="31" customFormat="1">
      <c r="A1255" s="34"/>
      <c r="B1255" s="76"/>
      <c r="C1255" s="76"/>
      <c r="D1255" s="44"/>
      <c r="E1255" s="44"/>
      <c r="F1255" s="44"/>
      <c r="G1255" s="44"/>
      <c r="H1255" s="44"/>
      <c r="I1255" s="44"/>
      <c r="J1255" s="44"/>
      <c r="K1255" s="44"/>
      <c r="L1255" s="44"/>
      <c r="M1255" s="44"/>
      <c r="N1255" s="37"/>
      <c r="O1255" s="38"/>
      <c r="P1255" s="34"/>
      <c r="Q1255" s="34"/>
      <c r="R1255" s="76"/>
      <c r="S1255" s="47"/>
      <c r="T1255" s="42"/>
      <c r="U1255" s="147"/>
      <c r="W1255" s="73"/>
      <c r="X1255"/>
      <c r="Y1255" s="69"/>
      <c r="Z1255"/>
      <c r="AA1255" s="33"/>
    </row>
    <row r="1256" spans="1:27" s="31" customFormat="1">
      <c r="A1256" s="34"/>
      <c r="B1256" s="76"/>
      <c r="C1256" s="76"/>
      <c r="D1256" s="44"/>
      <c r="E1256" s="44"/>
      <c r="F1256" s="44"/>
      <c r="G1256" s="44"/>
      <c r="H1256" s="44"/>
      <c r="I1256" s="44"/>
      <c r="J1256" s="44"/>
      <c r="K1256" s="44"/>
      <c r="L1256" s="44"/>
      <c r="M1256" s="44"/>
      <c r="N1256" s="37"/>
      <c r="O1256" s="38"/>
      <c r="P1256" s="34"/>
      <c r="Q1256" s="34"/>
      <c r="R1256" s="76"/>
      <c r="S1256" s="47"/>
      <c r="T1256" s="42"/>
      <c r="U1256" s="147"/>
      <c r="W1256" s="73"/>
      <c r="X1256"/>
      <c r="Y1256" s="69"/>
      <c r="Z1256"/>
      <c r="AA1256" s="33"/>
    </row>
    <row r="1257" spans="1:27" s="31" customFormat="1">
      <c r="A1257" s="34"/>
      <c r="B1257" s="76"/>
      <c r="C1257" s="76"/>
      <c r="D1257" s="44"/>
      <c r="E1257" s="44"/>
      <c r="F1257" s="44"/>
      <c r="G1257" s="44"/>
      <c r="H1257" s="44"/>
      <c r="I1257" s="44"/>
      <c r="J1257" s="44"/>
      <c r="K1257" s="44"/>
      <c r="L1257" s="44"/>
      <c r="M1257" s="44"/>
      <c r="N1257" s="37"/>
      <c r="O1257" s="38"/>
      <c r="P1257" s="34"/>
      <c r="Q1257" s="34"/>
      <c r="R1257" s="76"/>
      <c r="S1257" s="47"/>
      <c r="T1257" s="42"/>
      <c r="U1257" s="147"/>
      <c r="W1257" s="73"/>
      <c r="X1257"/>
      <c r="Y1257" s="69"/>
      <c r="Z1257"/>
      <c r="AA1257" s="33"/>
    </row>
    <row r="1258" spans="1:27" s="31" customFormat="1">
      <c r="A1258" s="34"/>
      <c r="B1258" s="76"/>
      <c r="C1258" s="76"/>
      <c r="D1258" s="44"/>
      <c r="E1258" s="44"/>
      <c r="F1258" s="44"/>
      <c r="G1258" s="44"/>
      <c r="H1258" s="44"/>
      <c r="I1258" s="44"/>
      <c r="J1258" s="44"/>
      <c r="K1258" s="44"/>
      <c r="L1258" s="44"/>
      <c r="M1258" s="44"/>
      <c r="N1258" s="37"/>
      <c r="O1258" s="38"/>
      <c r="P1258" s="34"/>
      <c r="Q1258" s="34"/>
      <c r="R1258" s="76"/>
      <c r="S1258" s="47"/>
      <c r="T1258" s="42"/>
      <c r="U1258" s="147"/>
      <c r="W1258" s="73"/>
      <c r="X1258"/>
      <c r="Y1258" s="69"/>
      <c r="Z1258"/>
      <c r="AA1258" s="33"/>
    </row>
    <row r="1259" spans="1:27" s="31" customFormat="1">
      <c r="A1259" s="34"/>
      <c r="B1259" s="76"/>
      <c r="C1259" s="76"/>
      <c r="D1259" s="44"/>
      <c r="E1259" s="44"/>
      <c r="F1259" s="44"/>
      <c r="G1259" s="44"/>
      <c r="H1259" s="44"/>
      <c r="I1259" s="44"/>
      <c r="J1259" s="44"/>
      <c r="K1259" s="44"/>
      <c r="L1259" s="44"/>
      <c r="M1259" s="44"/>
      <c r="N1259" s="37"/>
      <c r="O1259" s="38"/>
      <c r="P1259" s="34"/>
      <c r="Q1259" s="34"/>
      <c r="R1259" s="76"/>
      <c r="S1259" s="47"/>
      <c r="T1259" s="42"/>
      <c r="U1259" s="147"/>
      <c r="W1259" s="73"/>
      <c r="X1259"/>
      <c r="Y1259" s="69"/>
      <c r="Z1259"/>
      <c r="AA1259" s="33"/>
    </row>
    <row r="1260" spans="1:27" s="31" customFormat="1">
      <c r="A1260" s="34"/>
      <c r="B1260" s="76"/>
      <c r="C1260" s="76"/>
      <c r="D1260" s="44"/>
      <c r="E1260" s="44"/>
      <c r="F1260" s="44"/>
      <c r="G1260" s="44"/>
      <c r="H1260" s="44"/>
      <c r="I1260" s="44"/>
      <c r="J1260" s="44"/>
      <c r="K1260" s="44"/>
      <c r="L1260" s="44"/>
      <c r="M1260" s="44"/>
      <c r="N1260" s="37"/>
      <c r="O1260" s="38"/>
      <c r="P1260" s="34"/>
      <c r="Q1260" s="34"/>
      <c r="R1260" s="76"/>
      <c r="S1260" s="47"/>
      <c r="T1260" s="42"/>
      <c r="U1260" s="147"/>
      <c r="W1260" s="73"/>
      <c r="X1260"/>
      <c r="Y1260" s="69"/>
      <c r="Z1260"/>
      <c r="AA1260" s="33"/>
    </row>
    <row r="1261" spans="1:27" s="31" customFormat="1">
      <c r="A1261" s="34"/>
      <c r="B1261" s="76"/>
      <c r="C1261" s="76"/>
      <c r="D1261" s="44"/>
      <c r="E1261" s="44"/>
      <c r="F1261" s="44"/>
      <c r="G1261" s="44"/>
      <c r="H1261" s="44"/>
      <c r="I1261" s="44"/>
      <c r="J1261" s="44"/>
      <c r="K1261" s="44"/>
      <c r="L1261" s="44"/>
      <c r="M1261" s="44"/>
      <c r="N1261" s="37"/>
      <c r="O1261" s="38"/>
      <c r="P1261" s="34"/>
      <c r="Q1261" s="34"/>
      <c r="R1261" s="76"/>
      <c r="S1261" s="48"/>
      <c r="T1261" s="41"/>
      <c r="U1261" s="52"/>
      <c r="W1261" s="73"/>
      <c r="X1261"/>
      <c r="Y1261" s="69"/>
      <c r="Z1261"/>
      <c r="AA1261" s="33"/>
    </row>
    <row r="1262" spans="1:27" s="31" customFormat="1">
      <c r="A1262" s="34"/>
      <c r="B1262" s="76"/>
      <c r="C1262" s="76"/>
      <c r="D1262" s="44"/>
      <c r="E1262" s="44"/>
      <c r="F1262" s="44"/>
      <c r="G1262" s="44"/>
      <c r="H1262" s="44"/>
      <c r="I1262" s="44"/>
      <c r="J1262" s="44"/>
      <c r="K1262" s="44"/>
      <c r="L1262" s="44"/>
      <c r="M1262" s="44"/>
      <c r="N1262" s="37"/>
      <c r="O1262" s="38"/>
      <c r="P1262" s="34"/>
      <c r="Q1262" s="34"/>
      <c r="R1262" s="76"/>
      <c r="S1262" s="48"/>
      <c r="T1262" s="41"/>
      <c r="U1262" s="52"/>
      <c r="W1262" s="73"/>
      <c r="X1262"/>
      <c r="Y1262" s="69"/>
      <c r="Z1262"/>
      <c r="AA1262" s="33"/>
    </row>
    <row r="1263" spans="1:27" s="31" customFormat="1">
      <c r="A1263" s="34"/>
      <c r="B1263" s="76"/>
      <c r="C1263" s="76"/>
      <c r="D1263" s="44"/>
      <c r="E1263" s="44"/>
      <c r="F1263" s="44"/>
      <c r="G1263" s="44"/>
      <c r="H1263" s="44"/>
      <c r="I1263" s="44"/>
      <c r="J1263" s="44"/>
      <c r="K1263" s="44"/>
      <c r="L1263" s="44"/>
      <c r="M1263" s="44"/>
      <c r="N1263" s="53"/>
      <c r="O1263" s="54"/>
      <c r="P1263" s="12"/>
      <c r="Q1263" s="34"/>
      <c r="R1263" s="76"/>
      <c r="S1263" s="48"/>
      <c r="T1263" s="41"/>
      <c r="U1263" s="52"/>
      <c r="W1263" s="73"/>
      <c r="X1263"/>
      <c r="Y1263" s="69"/>
      <c r="Z1263"/>
      <c r="AA1263" s="33"/>
    </row>
    <row r="1264" spans="1:27" s="31" customFormat="1">
      <c r="A1264" s="34"/>
      <c r="B1264" s="76"/>
      <c r="C1264" s="76"/>
      <c r="D1264" s="44"/>
      <c r="E1264" s="44"/>
      <c r="F1264" s="44"/>
      <c r="G1264" s="44"/>
      <c r="H1264" s="44"/>
      <c r="I1264" s="44"/>
      <c r="J1264" s="44"/>
      <c r="K1264" s="44"/>
      <c r="L1264" s="44"/>
      <c r="M1264" s="44"/>
      <c r="N1264" s="53"/>
      <c r="O1264" s="54"/>
      <c r="P1264" s="12"/>
      <c r="Q1264" s="34"/>
      <c r="R1264" s="76"/>
      <c r="S1264" s="48"/>
      <c r="T1264" s="41"/>
      <c r="U1264" s="52"/>
      <c r="W1264" s="73"/>
      <c r="X1264"/>
      <c r="Y1264" s="69"/>
      <c r="Z1264"/>
      <c r="AA1264" s="33"/>
    </row>
    <row r="1265" spans="1:27" s="31" customFormat="1">
      <c r="A1265" s="34"/>
      <c r="B1265" s="76"/>
      <c r="C1265" s="76"/>
      <c r="D1265" s="44"/>
      <c r="E1265" s="44"/>
      <c r="F1265" s="44"/>
      <c r="G1265" s="44"/>
      <c r="H1265" s="44"/>
      <c r="I1265" s="44"/>
      <c r="J1265" s="44"/>
      <c r="K1265" s="44"/>
      <c r="L1265" s="44"/>
      <c r="M1265" s="44"/>
      <c r="N1265" s="53"/>
      <c r="O1265" s="54"/>
      <c r="P1265" s="12"/>
      <c r="Q1265" s="34"/>
      <c r="R1265" s="76"/>
      <c r="S1265" s="48"/>
      <c r="T1265" s="41"/>
      <c r="U1265" s="52"/>
      <c r="W1265" s="73"/>
      <c r="X1265"/>
      <c r="Y1265" s="69"/>
      <c r="Z1265"/>
      <c r="AA1265" s="33"/>
    </row>
    <row r="1266" spans="1:27" s="31" customFormat="1">
      <c r="A1266" s="34"/>
      <c r="B1266" s="76"/>
      <c r="C1266" s="76"/>
      <c r="D1266" s="44"/>
      <c r="E1266" s="44"/>
      <c r="F1266" s="44"/>
      <c r="G1266" s="44"/>
      <c r="H1266" s="44"/>
      <c r="I1266" s="44"/>
      <c r="J1266" s="44"/>
      <c r="K1266" s="44"/>
      <c r="L1266" s="44"/>
      <c r="M1266" s="44"/>
      <c r="N1266" s="53"/>
      <c r="O1266" s="54"/>
      <c r="P1266" s="12"/>
      <c r="Q1266" s="39"/>
      <c r="R1266" s="84"/>
      <c r="S1266" s="48"/>
      <c r="T1266" s="41"/>
      <c r="U1266" s="52"/>
      <c r="W1266" s="73"/>
      <c r="X1266"/>
      <c r="Y1266" s="69"/>
      <c r="Z1266"/>
      <c r="AA1266" s="33"/>
    </row>
    <row r="1267" spans="1:27" s="31" customFormat="1">
      <c r="A1267" s="34"/>
      <c r="B1267" s="76"/>
      <c r="C1267" s="76"/>
      <c r="D1267" s="44"/>
      <c r="E1267" s="44"/>
      <c r="F1267" s="44"/>
      <c r="G1267" s="44"/>
      <c r="H1267" s="44"/>
      <c r="I1267" s="44"/>
      <c r="J1267" s="44"/>
      <c r="K1267" s="44"/>
      <c r="L1267" s="44"/>
      <c r="M1267" s="44"/>
      <c r="N1267" s="53"/>
      <c r="O1267" s="54"/>
      <c r="P1267" s="12"/>
      <c r="Q1267" s="39"/>
      <c r="R1267" s="84"/>
      <c r="S1267" s="48"/>
      <c r="T1267" s="41"/>
      <c r="U1267" s="52"/>
      <c r="W1267" s="73"/>
      <c r="X1267"/>
      <c r="Y1267" s="69"/>
      <c r="Z1267"/>
      <c r="AA1267" s="33"/>
    </row>
    <row r="1268" spans="1:27" s="31" customFormat="1">
      <c r="A1268" s="34"/>
      <c r="B1268" s="76"/>
      <c r="C1268" s="76"/>
      <c r="D1268" s="44"/>
      <c r="E1268" s="44"/>
      <c r="F1268" s="44"/>
      <c r="G1268" s="44"/>
      <c r="H1268" s="44"/>
      <c r="I1268" s="44"/>
      <c r="J1268" s="44"/>
      <c r="K1268" s="44"/>
      <c r="L1268" s="44"/>
      <c r="M1268" s="44"/>
      <c r="N1268" s="53"/>
      <c r="O1268" s="54"/>
      <c r="P1268" s="12"/>
      <c r="Q1268" s="39"/>
      <c r="R1268" s="84"/>
      <c r="S1268" s="48"/>
      <c r="T1268" s="41"/>
      <c r="U1268" s="52"/>
      <c r="W1268" s="73"/>
      <c r="X1268"/>
      <c r="Y1268" s="69"/>
      <c r="Z1268"/>
      <c r="AA1268" s="33"/>
    </row>
    <row r="1269" spans="1:27" s="31" customFormat="1">
      <c r="A1269" s="34"/>
      <c r="B1269" s="76"/>
      <c r="C1269" s="76"/>
      <c r="D1269" s="44"/>
      <c r="E1269" s="44"/>
      <c r="F1269" s="44"/>
      <c r="G1269" s="44"/>
      <c r="H1269" s="44"/>
      <c r="I1269" s="44"/>
      <c r="J1269" s="44"/>
      <c r="K1269" s="44"/>
      <c r="L1269" s="44"/>
      <c r="M1269" s="44"/>
      <c r="N1269" s="53"/>
      <c r="O1269" s="54"/>
      <c r="P1269" s="12"/>
      <c r="Q1269" s="39"/>
      <c r="R1269" s="84"/>
      <c r="S1269" s="48"/>
      <c r="T1269" s="41"/>
      <c r="U1269" s="52"/>
      <c r="W1269" s="73"/>
      <c r="X1269"/>
      <c r="Y1269" s="69"/>
      <c r="Z1269"/>
      <c r="AA1269" s="33"/>
    </row>
    <row r="1270" spans="1:27" s="31" customFormat="1">
      <c r="A1270" s="34"/>
      <c r="B1270" s="76"/>
      <c r="C1270" s="76"/>
      <c r="D1270" s="44"/>
      <c r="E1270" s="44"/>
      <c r="F1270" s="44"/>
      <c r="G1270" s="44"/>
      <c r="H1270" s="44"/>
      <c r="I1270" s="44"/>
      <c r="J1270" s="44"/>
      <c r="K1270" s="44"/>
      <c r="L1270" s="44"/>
      <c r="M1270" s="44"/>
      <c r="N1270" s="53"/>
      <c r="O1270" s="54"/>
      <c r="P1270" s="12"/>
      <c r="Q1270" s="39"/>
      <c r="R1270" s="84"/>
      <c r="S1270" s="48"/>
      <c r="T1270" s="41"/>
      <c r="U1270" s="52"/>
      <c r="W1270" s="73"/>
      <c r="X1270"/>
      <c r="Y1270" s="69"/>
      <c r="Z1270"/>
      <c r="AA1270" s="33"/>
    </row>
    <row r="1271" spans="1:27" s="31" customFormat="1">
      <c r="A1271" s="34"/>
      <c r="B1271" s="76"/>
      <c r="C1271" s="76"/>
      <c r="D1271" s="44"/>
      <c r="E1271" s="44"/>
      <c r="F1271" s="44"/>
      <c r="G1271" s="44"/>
      <c r="H1271" s="44"/>
      <c r="I1271" s="44"/>
      <c r="J1271" s="44"/>
      <c r="K1271" s="44"/>
      <c r="L1271" s="44"/>
      <c r="M1271" s="44"/>
      <c r="N1271" s="53"/>
      <c r="O1271" s="54"/>
      <c r="P1271" s="12"/>
      <c r="Q1271" s="39"/>
      <c r="R1271" s="84"/>
      <c r="S1271" s="48"/>
      <c r="T1271" s="41"/>
      <c r="U1271" s="52"/>
      <c r="W1271" s="73"/>
      <c r="X1271"/>
      <c r="Y1271" s="69"/>
      <c r="Z1271"/>
      <c r="AA1271" s="33"/>
    </row>
    <row r="1272" spans="1:27" s="31" customFormat="1">
      <c r="A1272" s="34"/>
      <c r="B1272" s="76"/>
      <c r="C1272" s="76"/>
      <c r="D1272" s="44"/>
      <c r="E1272" s="44"/>
      <c r="F1272" s="44"/>
      <c r="G1272" s="44"/>
      <c r="H1272" s="44"/>
      <c r="I1272" s="44"/>
      <c r="J1272" s="44"/>
      <c r="K1272" s="44"/>
      <c r="L1272" s="44"/>
      <c r="M1272" s="44"/>
      <c r="N1272" s="53"/>
      <c r="O1272" s="54"/>
      <c r="P1272" s="12"/>
      <c r="Q1272" s="39"/>
      <c r="R1272" s="84"/>
      <c r="S1272" s="48"/>
      <c r="T1272" s="41"/>
      <c r="U1272" s="52"/>
      <c r="W1272" s="73"/>
      <c r="X1272"/>
      <c r="Y1272" s="69"/>
      <c r="Z1272"/>
      <c r="AA1272" s="33"/>
    </row>
    <row r="1273" spans="1:27" s="31" customFormat="1">
      <c r="A1273" s="34"/>
      <c r="B1273" s="76"/>
      <c r="C1273" s="76"/>
      <c r="D1273" s="44"/>
      <c r="E1273" s="44"/>
      <c r="F1273" s="44"/>
      <c r="G1273" s="44"/>
      <c r="H1273" s="44"/>
      <c r="I1273" s="44"/>
      <c r="J1273" s="44"/>
      <c r="K1273" s="44"/>
      <c r="L1273" s="44"/>
      <c r="M1273" s="44"/>
      <c r="N1273" s="53"/>
      <c r="O1273" s="54"/>
      <c r="P1273" s="12"/>
      <c r="Q1273" s="39"/>
      <c r="R1273" s="84"/>
      <c r="S1273" s="48"/>
      <c r="T1273" s="41"/>
      <c r="U1273" s="52"/>
      <c r="W1273" s="73"/>
      <c r="X1273"/>
      <c r="Y1273" s="69"/>
      <c r="Z1273"/>
      <c r="AA1273" s="33"/>
    </row>
    <row r="1274" spans="1:27" s="31" customFormat="1">
      <c r="A1274" s="34"/>
      <c r="B1274" s="76"/>
      <c r="C1274" s="76"/>
      <c r="D1274" s="44"/>
      <c r="E1274" s="44"/>
      <c r="F1274" s="44"/>
      <c r="G1274" s="44"/>
      <c r="H1274" s="44"/>
      <c r="I1274" s="44"/>
      <c r="J1274" s="44"/>
      <c r="K1274" s="44"/>
      <c r="L1274" s="44"/>
      <c r="M1274" s="44"/>
      <c r="N1274" s="53"/>
      <c r="O1274" s="54"/>
      <c r="P1274" s="12"/>
      <c r="Q1274" s="39"/>
      <c r="R1274" s="84"/>
      <c r="S1274" s="48"/>
      <c r="T1274" s="41"/>
      <c r="U1274" s="52"/>
      <c r="W1274" s="73"/>
      <c r="X1274"/>
      <c r="Y1274" s="69"/>
      <c r="Z1274"/>
      <c r="AA1274" s="33"/>
    </row>
    <row r="1275" spans="1:27" s="31" customFormat="1">
      <c r="A1275" s="34"/>
      <c r="B1275" s="76"/>
      <c r="C1275" s="76"/>
      <c r="D1275" s="44"/>
      <c r="E1275" s="44"/>
      <c r="F1275" s="44"/>
      <c r="G1275" s="44"/>
      <c r="H1275" s="44"/>
      <c r="I1275" s="44"/>
      <c r="J1275" s="44"/>
      <c r="K1275" s="44"/>
      <c r="L1275" s="44"/>
      <c r="M1275" s="44"/>
      <c r="N1275" s="53"/>
      <c r="O1275" s="54"/>
      <c r="P1275" s="12"/>
      <c r="Q1275" s="39"/>
      <c r="R1275" s="84"/>
      <c r="S1275" s="48"/>
      <c r="T1275" s="41"/>
      <c r="U1275" s="52"/>
      <c r="W1275" s="73"/>
      <c r="X1275"/>
      <c r="Y1275" s="69"/>
      <c r="Z1275"/>
      <c r="AA1275" s="33"/>
    </row>
    <row r="1276" spans="1:27" s="31" customFormat="1">
      <c r="A1276" s="34"/>
      <c r="B1276" s="76"/>
      <c r="C1276" s="76"/>
      <c r="D1276" s="44"/>
      <c r="E1276" s="44"/>
      <c r="F1276" s="44"/>
      <c r="G1276" s="44"/>
      <c r="H1276" s="44"/>
      <c r="I1276" s="44"/>
      <c r="J1276" s="44"/>
      <c r="K1276" s="44"/>
      <c r="L1276" s="44"/>
      <c r="M1276" s="44"/>
      <c r="N1276" s="53"/>
      <c r="O1276" s="54"/>
      <c r="P1276" s="12"/>
      <c r="Q1276" s="12"/>
      <c r="R1276" s="86"/>
      <c r="S1276" s="48"/>
      <c r="T1276" s="41"/>
      <c r="U1276" s="52"/>
      <c r="W1276" s="73"/>
      <c r="X1276"/>
      <c r="Y1276" s="69"/>
      <c r="Z1276"/>
      <c r="AA1276" s="33"/>
    </row>
    <row r="1277" spans="1:27" s="31" customFormat="1">
      <c r="A1277" s="34"/>
      <c r="B1277" s="76"/>
      <c r="C1277" s="76"/>
      <c r="D1277" s="44"/>
      <c r="E1277" s="44"/>
      <c r="F1277" s="44"/>
      <c r="G1277" s="44"/>
      <c r="H1277" s="44"/>
      <c r="I1277" s="44"/>
      <c r="J1277" s="44"/>
      <c r="K1277" s="44"/>
      <c r="L1277" s="44"/>
      <c r="M1277" s="44"/>
      <c r="N1277" s="53"/>
      <c r="O1277" s="54"/>
      <c r="P1277" s="12"/>
      <c r="Q1277" s="12"/>
      <c r="R1277" s="86"/>
      <c r="S1277" s="48"/>
      <c r="T1277" s="41"/>
      <c r="U1277" s="52"/>
      <c r="W1277" s="73"/>
      <c r="X1277"/>
      <c r="Y1277" s="69"/>
      <c r="Z1277"/>
      <c r="AA1277" s="33"/>
    </row>
    <row r="1278" spans="1:27" s="31" customFormat="1">
      <c r="A1278" s="34"/>
      <c r="B1278" s="76"/>
      <c r="C1278" s="76"/>
      <c r="D1278" s="44"/>
      <c r="E1278" s="44"/>
      <c r="F1278" s="44"/>
      <c r="G1278" s="44"/>
      <c r="H1278" s="44"/>
      <c r="I1278" s="44"/>
      <c r="J1278" s="44"/>
      <c r="K1278" s="44"/>
      <c r="L1278" s="44"/>
      <c r="M1278" s="44"/>
      <c r="N1278" s="53"/>
      <c r="O1278" s="54"/>
      <c r="P1278" s="12"/>
      <c r="Q1278" s="34"/>
      <c r="R1278" s="76"/>
      <c r="S1278" s="48"/>
      <c r="T1278" s="41"/>
      <c r="U1278" s="52"/>
      <c r="W1278" s="73"/>
      <c r="X1278"/>
      <c r="Y1278" s="69"/>
      <c r="Z1278"/>
      <c r="AA1278" s="33"/>
    </row>
    <row r="1279" spans="1:27" s="31" customFormat="1">
      <c r="A1279" s="34"/>
      <c r="B1279" s="76"/>
      <c r="C1279" s="76"/>
      <c r="D1279" s="44"/>
      <c r="E1279" s="44"/>
      <c r="F1279" s="44"/>
      <c r="G1279" s="44"/>
      <c r="H1279" s="44"/>
      <c r="I1279" s="44"/>
      <c r="J1279" s="44"/>
      <c r="K1279" s="44"/>
      <c r="L1279" s="44"/>
      <c r="M1279" s="44"/>
      <c r="N1279" s="53"/>
      <c r="O1279" s="54"/>
      <c r="P1279" s="12"/>
      <c r="Q1279" s="34"/>
      <c r="R1279" s="76"/>
      <c r="S1279" s="48"/>
      <c r="T1279" s="41"/>
      <c r="U1279" s="52"/>
      <c r="W1279" s="73"/>
      <c r="X1279"/>
      <c r="Y1279" s="69"/>
      <c r="Z1279"/>
      <c r="AA1279" s="33"/>
    </row>
    <row r="1280" spans="1:27" s="31" customFormat="1">
      <c r="A1280" s="34"/>
      <c r="B1280" s="76"/>
      <c r="C1280" s="76"/>
      <c r="D1280" s="44"/>
      <c r="E1280" s="44"/>
      <c r="F1280" s="44"/>
      <c r="G1280" s="44"/>
      <c r="H1280" s="44"/>
      <c r="I1280" s="44"/>
      <c r="J1280" s="44"/>
      <c r="K1280" s="44"/>
      <c r="L1280" s="44"/>
      <c r="M1280" s="44"/>
      <c r="N1280" s="53"/>
      <c r="O1280" s="54"/>
      <c r="P1280" s="12"/>
      <c r="Q1280" s="34"/>
      <c r="R1280" s="76"/>
      <c r="S1280" s="48"/>
      <c r="T1280" s="41"/>
      <c r="U1280" s="52"/>
      <c r="W1280" s="73"/>
      <c r="X1280"/>
      <c r="Y1280" s="69"/>
      <c r="Z1280"/>
      <c r="AA1280" s="33"/>
    </row>
    <row r="1281" spans="1:27" s="31" customFormat="1">
      <c r="A1281" s="34"/>
      <c r="B1281" s="76"/>
      <c r="C1281" s="76"/>
      <c r="D1281" s="44"/>
      <c r="E1281" s="44"/>
      <c r="F1281" s="44"/>
      <c r="G1281" s="44"/>
      <c r="H1281" s="44"/>
      <c r="I1281" s="44"/>
      <c r="J1281" s="44"/>
      <c r="K1281" s="44"/>
      <c r="L1281" s="44"/>
      <c r="M1281" s="44"/>
      <c r="N1281" s="53"/>
      <c r="O1281" s="54"/>
      <c r="P1281" s="12"/>
      <c r="Q1281" s="34"/>
      <c r="R1281" s="76"/>
      <c r="S1281" s="48"/>
      <c r="T1281" s="41"/>
      <c r="U1281" s="52"/>
      <c r="W1281" s="73"/>
      <c r="X1281"/>
      <c r="Y1281" s="69"/>
      <c r="Z1281"/>
      <c r="AA1281" s="33"/>
    </row>
    <row r="1282" spans="1:27" s="31" customFormat="1">
      <c r="A1282" s="34"/>
      <c r="B1282" s="76"/>
      <c r="C1282" s="76"/>
      <c r="D1282" s="44"/>
      <c r="E1282" s="44"/>
      <c r="F1282" s="44"/>
      <c r="G1282" s="44"/>
      <c r="H1282" s="44"/>
      <c r="I1282" s="44"/>
      <c r="J1282" s="44"/>
      <c r="K1282" s="44"/>
      <c r="L1282" s="44"/>
      <c r="M1282" s="44"/>
      <c r="N1282" s="53"/>
      <c r="O1282" s="54"/>
      <c r="P1282" s="12"/>
      <c r="Q1282" s="34"/>
      <c r="R1282" s="76"/>
      <c r="S1282" s="48"/>
      <c r="T1282" s="41"/>
      <c r="U1282" s="52"/>
      <c r="W1282" s="73"/>
      <c r="X1282"/>
      <c r="Y1282" s="69"/>
      <c r="Z1282"/>
      <c r="AA1282" s="33"/>
    </row>
    <row r="1283" spans="1:27" s="31" customFormat="1">
      <c r="A1283" s="34"/>
      <c r="B1283" s="76"/>
      <c r="C1283" s="76"/>
      <c r="D1283" s="44"/>
      <c r="E1283" s="44"/>
      <c r="F1283" s="44"/>
      <c r="G1283" s="44"/>
      <c r="H1283" s="44"/>
      <c r="I1283" s="44"/>
      <c r="J1283" s="44"/>
      <c r="K1283" s="44"/>
      <c r="L1283" s="44"/>
      <c r="M1283" s="44"/>
      <c r="N1283" s="53"/>
      <c r="O1283" s="54"/>
      <c r="P1283" s="12"/>
      <c r="Q1283" s="34"/>
      <c r="R1283" s="76"/>
      <c r="S1283" s="48"/>
      <c r="T1283" s="41"/>
      <c r="U1283" s="52"/>
      <c r="W1283" s="73"/>
      <c r="X1283"/>
      <c r="Y1283" s="69"/>
      <c r="Z1283"/>
      <c r="AA1283" s="33"/>
    </row>
    <row r="1284" spans="1:27" s="31" customFormat="1">
      <c r="A1284" s="34"/>
      <c r="B1284" s="76"/>
      <c r="C1284" s="76"/>
      <c r="D1284" s="44"/>
      <c r="E1284" s="44"/>
      <c r="F1284" s="44"/>
      <c r="G1284" s="44"/>
      <c r="H1284" s="44"/>
      <c r="I1284" s="44"/>
      <c r="J1284" s="44"/>
      <c r="K1284" s="44"/>
      <c r="L1284" s="44"/>
      <c r="M1284" s="44"/>
      <c r="N1284" s="53"/>
      <c r="O1284" s="54"/>
      <c r="P1284" s="12"/>
      <c r="Q1284" s="34"/>
      <c r="R1284" s="76"/>
      <c r="S1284" s="48"/>
      <c r="T1284" s="41"/>
      <c r="U1284" s="52"/>
      <c r="W1284" s="73"/>
      <c r="X1284"/>
      <c r="Y1284" s="69"/>
      <c r="Z1284"/>
      <c r="AA1284" s="33"/>
    </row>
    <row r="1285" spans="1:27" s="31" customFormat="1">
      <c r="A1285" s="34"/>
      <c r="B1285" s="76"/>
      <c r="C1285" s="76"/>
      <c r="D1285" s="44"/>
      <c r="E1285" s="44"/>
      <c r="F1285" s="44"/>
      <c r="G1285" s="44"/>
      <c r="H1285" s="44"/>
      <c r="I1285" s="44"/>
      <c r="J1285" s="44"/>
      <c r="K1285" s="44"/>
      <c r="L1285" s="44"/>
      <c r="M1285" s="44"/>
      <c r="N1285" s="53"/>
      <c r="O1285" s="54"/>
      <c r="P1285" s="12"/>
      <c r="Q1285" s="34"/>
      <c r="R1285" s="76"/>
      <c r="S1285" s="48"/>
      <c r="T1285" s="41"/>
      <c r="U1285" s="52"/>
      <c r="W1285" s="73"/>
      <c r="X1285"/>
      <c r="Y1285" s="69"/>
      <c r="Z1285"/>
      <c r="AA1285" s="33"/>
    </row>
    <row r="1286" spans="1:27" s="31" customFormat="1">
      <c r="A1286" s="34"/>
      <c r="B1286" s="76"/>
      <c r="C1286" s="76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53"/>
      <c r="O1286" s="54"/>
      <c r="P1286" s="12"/>
      <c r="Q1286" s="34"/>
      <c r="R1286" s="76"/>
      <c r="S1286" s="48"/>
      <c r="T1286" s="41"/>
      <c r="U1286" s="52"/>
      <c r="W1286" s="73"/>
      <c r="X1286"/>
      <c r="Y1286" s="69"/>
      <c r="Z1286"/>
      <c r="AA1286" s="33"/>
    </row>
    <row r="1287" spans="1:27" s="31" customFormat="1">
      <c r="A1287" s="34"/>
      <c r="B1287" s="76"/>
      <c r="C1287" s="76"/>
      <c r="D1287" s="44"/>
      <c r="E1287" s="44"/>
      <c r="F1287" s="44"/>
      <c r="G1287" s="44"/>
      <c r="H1287" s="44"/>
      <c r="I1287" s="44"/>
      <c r="J1287" s="44"/>
      <c r="K1287" s="44"/>
      <c r="L1287" s="44"/>
      <c r="M1287" s="44"/>
      <c r="N1287" s="53"/>
      <c r="O1287" s="54"/>
      <c r="P1287" s="12"/>
      <c r="Q1287" s="34"/>
      <c r="R1287" s="76"/>
      <c r="S1287" s="48"/>
      <c r="T1287" s="41"/>
      <c r="U1287" s="52"/>
      <c r="W1287" s="73"/>
      <c r="X1287"/>
      <c r="Y1287" s="69"/>
      <c r="Z1287"/>
      <c r="AA1287" s="33"/>
    </row>
    <row r="1288" spans="1:27" s="31" customFormat="1">
      <c r="A1288" s="34"/>
      <c r="B1288" s="76"/>
      <c r="C1288" s="76"/>
      <c r="D1288" s="44"/>
      <c r="E1288" s="44"/>
      <c r="F1288" s="44"/>
      <c r="G1288" s="44"/>
      <c r="H1288" s="44"/>
      <c r="I1288" s="44"/>
      <c r="J1288" s="44"/>
      <c r="K1288" s="44"/>
      <c r="L1288" s="44"/>
      <c r="M1288" s="44"/>
      <c r="N1288" s="53"/>
      <c r="O1288" s="54"/>
      <c r="P1288" s="12"/>
      <c r="Q1288" s="34"/>
      <c r="R1288" s="76"/>
      <c r="S1288" s="48"/>
      <c r="T1288" s="41"/>
      <c r="U1288" s="52"/>
      <c r="W1288" s="73"/>
      <c r="X1288"/>
      <c r="Y1288" s="69"/>
      <c r="Z1288"/>
      <c r="AA1288" s="33"/>
    </row>
    <row r="1289" spans="1:27" s="31" customFormat="1">
      <c r="A1289" s="34"/>
      <c r="B1289" s="80"/>
      <c r="C1289" s="80"/>
      <c r="D1289" s="44"/>
      <c r="E1289" s="44"/>
      <c r="F1289" s="44"/>
      <c r="G1289" s="44"/>
      <c r="H1289" s="44"/>
      <c r="I1289" s="44"/>
      <c r="J1289" s="44"/>
      <c r="K1289" s="44"/>
      <c r="L1289" s="44"/>
      <c r="M1289" s="44"/>
      <c r="N1289" s="53"/>
      <c r="O1289" s="54"/>
      <c r="P1289" s="12"/>
      <c r="Q1289" s="34"/>
      <c r="R1289" s="76"/>
      <c r="S1289" s="48"/>
      <c r="T1289" s="41"/>
      <c r="U1289" s="52"/>
      <c r="W1289" s="73"/>
      <c r="X1289"/>
      <c r="Y1289" s="69"/>
      <c r="Z1289"/>
      <c r="AA1289" s="33"/>
    </row>
    <row r="1290" spans="1:27">
      <c r="A1290" s="34"/>
      <c r="B1290" s="80"/>
      <c r="C1290" s="80"/>
      <c r="D1290" s="44"/>
      <c r="E1290" s="44"/>
      <c r="F1290" s="44"/>
      <c r="G1290" s="44"/>
      <c r="H1290" s="44"/>
      <c r="I1290" s="44"/>
      <c r="J1290" s="44"/>
      <c r="K1290" s="44"/>
      <c r="L1290" s="44"/>
      <c r="M1290" s="44"/>
      <c r="N1290" s="53"/>
      <c r="O1290" s="54"/>
      <c r="P1290" s="12"/>
      <c r="Q1290" s="12"/>
      <c r="R1290" s="86"/>
      <c r="S1290" s="48"/>
      <c r="T1290" s="41"/>
      <c r="U1290" s="52"/>
    </row>
    <row r="1291" spans="1:27">
      <c r="A1291" s="34"/>
      <c r="B1291" s="80"/>
      <c r="C1291" s="80"/>
      <c r="D1291" s="44"/>
      <c r="E1291" s="44"/>
      <c r="F1291" s="44"/>
      <c r="G1291" s="44"/>
      <c r="H1291" s="44"/>
      <c r="I1291" s="44"/>
      <c r="J1291" s="44"/>
      <c r="K1291" s="44"/>
      <c r="L1291" s="44"/>
      <c r="M1291" s="44"/>
      <c r="N1291" s="53"/>
      <c r="O1291" s="54"/>
      <c r="P1291" s="12"/>
      <c r="Q1291" s="12"/>
      <c r="R1291" s="86"/>
      <c r="S1291" s="48"/>
      <c r="T1291" s="41"/>
      <c r="U1291" s="52"/>
    </row>
    <row r="1292" spans="1:27">
      <c r="A1292" s="34"/>
      <c r="B1292" s="80"/>
      <c r="C1292" s="80"/>
      <c r="D1292" s="44"/>
      <c r="E1292" s="44"/>
      <c r="F1292" s="44"/>
      <c r="G1292" s="44"/>
      <c r="H1292" s="44"/>
      <c r="I1292" s="44"/>
      <c r="J1292" s="44"/>
      <c r="K1292" s="44"/>
      <c r="L1292" s="44"/>
      <c r="M1292" s="44"/>
      <c r="N1292" s="53"/>
      <c r="O1292" s="54"/>
      <c r="P1292" s="12"/>
      <c r="Q1292" s="34"/>
      <c r="R1292" s="76"/>
      <c r="S1292" s="48"/>
      <c r="T1292" s="41"/>
      <c r="U1292" s="52"/>
    </row>
    <row r="1293" spans="1:27">
      <c r="A1293" s="34"/>
      <c r="B1293" s="80"/>
      <c r="C1293" s="80"/>
      <c r="D1293" s="44"/>
      <c r="E1293" s="44"/>
      <c r="F1293" s="44"/>
      <c r="G1293" s="44"/>
      <c r="H1293" s="44"/>
      <c r="I1293" s="44"/>
      <c r="J1293" s="44"/>
      <c r="K1293" s="44"/>
      <c r="L1293" s="44"/>
      <c r="M1293" s="44"/>
      <c r="N1293" s="53"/>
      <c r="O1293" s="54"/>
      <c r="P1293" s="12"/>
      <c r="Q1293" s="12"/>
      <c r="R1293" s="86"/>
      <c r="S1293" s="48"/>
      <c r="T1293" s="41"/>
      <c r="U1293" s="52"/>
    </row>
    <row r="1294" spans="1:27">
      <c r="A1294" s="34"/>
      <c r="B1294" s="80"/>
      <c r="C1294" s="80"/>
      <c r="D1294" s="44"/>
      <c r="E1294" s="44"/>
      <c r="F1294" s="44"/>
      <c r="G1294" s="44"/>
      <c r="H1294" s="44"/>
      <c r="I1294" s="44"/>
      <c r="J1294" s="44"/>
      <c r="K1294" s="44"/>
      <c r="L1294" s="44"/>
      <c r="M1294" s="44"/>
      <c r="N1294" s="53"/>
      <c r="O1294" s="54"/>
      <c r="P1294" s="12"/>
      <c r="Q1294" s="55"/>
      <c r="R1294" s="86"/>
      <c r="S1294" s="48"/>
      <c r="T1294" s="41"/>
      <c r="U1294" s="52"/>
    </row>
    <row r="1295" spans="1:27">
      <c r="A1295" s="34"/>
      <c r="B1295" s="80"/>
      <c r="C1295" s="80"/>
      <c r="D1295" s="44"/>
      <c r="E1295" s="44"/>
      <c r="F1295" s="44"/>
      <c r="G1295" s="44"/>
      <c r="H1295" s="44"/>
      <c r="I1295" s="44"/>
      <c r="J1295" s="44"/>
      <c r="K1295" s="44"/>
      <c r="L1295" s="44"/>
      <c r="M1295" s="44"/>
      <c r="N1295" s="53"/>
      <c r="O1295" s="54"/>
      <c r="P1295" s="12"/>
      <c r="Q1295" s="55"/>
      <c r="R1295" s="86"/>
      <c r="S1295" s="48"/>
      <c r="T1295" s="41"/>
      <c r="U1295" s="52"/>
    </row>
    <row r="1296" spans="1:27">
      <c r="A1296" s="34"/>
      <c r="B1296" s="80"/>
      <c r="C1296" s="80"/>
      <c r="D1296" s="44"/>
      <c r="E1296" s="44"/>
      <c r="F1296" s="44"/>
      <c r="G1296" s="44"/>
      <c r="H1296" s="44"/>
      <c r="I1296" s="44"/>
      <c r="J1296" s="44"/>
      <c r="K1296" s="44"/>
      <c r="L1296" s="44"/>
      <c r="M1296" s="44"/>
      <c r="N1296" s="53"/>
      <c r="O1296" s="54"/>
      <c r="P1296" s="12"/>
      <c r="Q1296" s="55"/>
      <c r="R1296" s="86"/>
      <c r="S1296" s="48"/>
      <c r="T1296" s="41"/>
      <c r="U1296" s="52"/>
    </row>
    <row r="1297" spans="1:27">
      <c r="A1297" s="34"/>
      <c r="B1297" s="80"/>
      <c r="C1297" s="80"/>
      <c r="D1297" s="44"/>
      <c r="E1297" s="44"/>
      <c r="F1297" s="44"/>
      <c r="G1297" s="44"/>
      <c r="H1297" s="44"/>
      <c r="I1297" s="44"/>
      <c r="J1297" s="44"/>
      <c r="K1297" s="44"/>
      <c r="L1297" s="44"/>
      <c r="M1297" s="44"/>
      <c r="N1297" s="53"/>
      <c r="O1297" s="54"/>
      <c r="P1297" s="12"/>
      <c r="Q1297" s="55"/>
      <c r="R1297" s="86"/>
      <c r="S1297" s="48"/>
      <c r="T1297" s="41"/>
      <c r="U1297" s="52"/>
    </row>
    <row r="1298" spans="1:27">
      <c r="A1298" s="34"/>
      <c r="B1298" s="80"/>
      <c r="C1298" s="80"/>
      <c r="D1298" s="44"/>
      <c r="E1298" s="44"/>
      <c r="F1298" s="44"/>
      <c r="G1298" s="44"/>
      <c r="H1298" s="44"/>
      <c r="I1298" s="44"/>
      <c r="J1298" s="44"/>
      <c r="K1298" s="44"/>
      <c r="L1298" s="44"/>
      <c r="M1298" s="44"/>
      <c r="N1298" s="53"/>
      <c r="O1298" s="54"/>
      <c r="P1298" s="12"/>
      <c r="Q1298" s="55"/>
      <c r="R1298" s="86"/>
      <c r="S1298" s="48"/>
      <c r="T1298" s="41"/>
      <c r="U1298" s="52"/>
    </row>
    <row r="1299" spans="1:27">
      <c r="A1299" s="34"/>
      <c r="B1299" s="80"/>
      <c r="C1299" s="80"/>
      <c r="D1299" s="44"/>
      <c r="E1299" s="44"/>
      <c r="F1299" s="44"/>
      <c r="G1299" s="44"/>
      <c r="H1299" s="44"/>
      <c r="I1299" s="44"/>
      <c r="J1299" s="44"/>
      <c r="K1299" s="44"/>
      <c r="L1299" s="44"/>
      <c r="M1299" s="44"/>
      <c r="N1299" s="53"/>
      <c r="O1299" s="54"/>
      <c r="P1299" s="12"/>
      <c r="Q1299" s="55"/>
      <c r="R1299" s="86"/>
      <c r="S1299" s="48"/>
      <c r="T1299" s="41"/>
      <c r="U1299" s="52"/>
    </row>
    <row r="1300" spans="1:27">
      <c r="A1300" s="34"/>
      <c r="B1300" s="80"/>
      <c r="C1300" s="80"/>
      <c r="D1300" s="44"/>
      <c r="E1300" s="44"/>
      <c r="F1300" s="44"/>
      <c r="G1300" s="44"/>
      <c r="H1300" s="44"/>
      <c r="I1300" s="44"/>
      <c r="J1300" s="44"/>
      <c r="K1300" s="44"/>
      <c r="L1300" s="44"/>
      <c r="M1300" s="44"/>
      <c r="N1300" s="53"/>
      <c r="O1300" s="54"/>
      <c r="P1300" s="12"/>
      <c r="Q1300" s="55"/>
      <c r="R1300" s="86"/>
      <c r="S1300" s="48"/>
      <c r="T1300" s="41"/>
      <c r="U1300" s="52"/>
    </row>
    <row r="1301" spans="1:27">
      <c r="A1301" s="34"/>
      <c r="B1301" s="80"/>
      <c r="C1301" s="80"/>
      <c r="D1301" s="44"/>
      <c r="E1301" s="44"/>
      <c r="F1301" s="44"/>
      <c r="G1301" s="44"/>
      <c r="H1301" s="44"/>
      <c r="I1301" s="44"/>
      <c r="J1301" s="44"/>
      <c r="K1301" s="44"/>
      <c r="L1301" s="44"/>
      <c r="M1301" s="44"/>
      <c r="N1301" s="53"/>
      <c r="O1301" s="54"/>
      <c r="P1301" s="12"/>
      <c r="Q1301" s="55"/>
      <c r="R1301" s="86"/>
      <c r="S1301" s="48"/>
      <c r="T1301" s="41"/>
      <c r="U1301" s="52"/>
    </row>
    <row r="1302" spans="1:27">
      <c r="A1302" s="55"/>
      <c r="B1302" s="81"/>
      <c r="C1302" s="81"/>
      <c r="D1302" s="12"/>
      <c r="E1302" s="12"/>
      <c r="F1302" s="12"/>
      <c r="G1302" s="12"/>
      <c r="H1302" s="12"/>
      <c r="I1302" s="12"/>
      <c r="J1302" s="12"/>
      <c r="K1302" s="12"/>
      <c r="L1302" s="12"/>
      <c r="M1302" s="44"/>
      <c r="N1302" s="56"/>
      <c r="O1302" s="57"/>
      <c r="P1302" s="55"/>
      <c r="Q1302" s="55"/>
      <c r="R1302" s="86"/>
      <c r="S1302" s="58"/>
      <c r="T1302" s="41"/>
      <c r="U1302" s="52"/>
    </row>
    <row r="1303" spans="1:27">
      <c r="A1303" s="55"/>
      <c r="B1303" s="82"/>
      <c r="C1303" s="82"/>
      <c r="D1303" s="41"/>
      <c r="E1303" s="41"/>
      <c r="F1303" s="41"/>
      <c r="G1303" s="41"/>
      <c r="H1303" s="41"/>
      <c r="I1303" s="41"/>
      <c r="J1303" s="41"/>
      <c r="K1303" s="41"/>
      <c r="L1303" s="41"/>
      <c r="M1303" s="115"/>
      <c r="N1303" s="56"/>
      <c r="O1303" s="57"/>
      <c r="P1303" s="59"/>
      <c r="Q1303" s="55"/>
      <c r="R1303" s="86"/>
      <c r="S1303" s="58"/>
      <c r="T1303" s="41"/>
      <c r="U1303" s="52"/>
    </row>
    <row r="1304" spans="1:27">
      <c r="A1304" s="55"/>
      <c r="B1304" s="81"/>
      <c r="C1304" s="81"/>
      <c r="D1304" s="12"/>
      <c r="E1304" s="12"/>
      <c r="F1304" s="12"/>
      <c r="G1304" s="12"/>
      <c r="H1304" s="12"/>
      <c r="I1304" s="12"/>
      <c r="J1304" s="12"/>
      <c r="K1304" s="12"/>
      <c r="L1304" s="12"/>
      <c r="M1304" s="44"/>
      <c r="N1304" s="56"/>
      <c r="O1304" s="57"/>
      <c r="P1304" s="55"/>
      <c r="Q1304" s="59"/>
      <c r="R1304" s="52"/>
      <c r="S1304" s="58"/>
      <c r="T1304" s="41"/>
      <c r="U1304" s="52"/>
    </row>
    <row r="1305" spans="1:27" s="5" customFormat="1">
      <c r="A1305" s="60"/>
      <c r="B1305" s="62"/>
      <c r="C1305" s="62"/>
      <c r="D1305" s="60"/>
      <c r="E1305" s="60"/>
      <c r="F1305" s="60"/>
      <c r="G1305" s="60"/>
      <c r="H1305" s="60"/>
      <c r="I1305" s="60"/>
      <c r="J1305" s="60"/>
      <c r="K1305" s="60"/>
      <c r="L1305" s="60"/>
      <c r="M1305" s="116"/>
      <c r="N1305" s="61"/>
      <c r="O1305" s="62"/>
      <c r="P1305" s="60"/>
      <c r="Q1305" s="55"/>
      <c r="R1305" s="86"/>
      <c r="S1305" s="62"/>
      <c r="T1305" s="63"/>
      <c r="U1305" s="63"/>
      <c r="V1305" s="14"/>
      <c r="W1305" s="74"/>
      <c r="Y1305" s="70"/>
      <c r="AA1305" s="14"/>
    </row>
    <row r="1306" spans="1:27" s="5" customFormat="1">
      <c r="A1306" s="60"/>
      <c r="B1306" s="62"/>
      <c r="C1306" s="62"/>
      <c r="D1306" s="60"/>
      <c r="E1306" s="60"/>
      <c r="F1306" s="60"/>
      <c r="G1306" s="60"/>
      <c r="H1306" s="60"/>
      <c r="I1306" s="60"/>
      <c r="J1306" s="60"/>
      <c r="K1306" s="60"/>
      <c r="L1306" s="60"/>
      <c r="M1306" s="116"/>
      <c r="N1306" s="61"/>
      <c r="O1306" s="64"/>
      <c r="P1306" s="65"/>
      <c r="Q1306" s="60"/>
      <c r="R1306" s="63"/>
      <c r="S1306" s="62"/>
      <c r="T1306" s="63"/>
      <c r="U1306" s="63"/>
      <c r="V1306" s="14"/>
      <c r="W1306" s="74"/>
      <c r="Y1306" s="70"/>
      <c r="AA1306" s="14"/>
    </row>
    <row r="1307" spans="1:27" s="5" customFormat="1">
      <c r="A1307" s="60"/>
      <c r="B1307" s="62"/>
      <c r="C1307" s="62"/>
      <c r="D1307" s="60"/>
      <c r="E1307" s="60"/>
      <c r="F1307" s="60"/>
      <c r="G1307" s="60"/>
      <c r="H1307" s="60"/>
      <c r="I1307" s="60"/>
      <c r="J1307" s="60"/>
      <c r="K1307" s="60"/>
      <c r="L1307" s="60"/>
      <c r="M1307" s="116"/>
      <c r="N1307" s="61"/>
      <c r="O1307" s="64"/>
      <c r="P1307" s="65"/>
      <c r="Q1307" s="65"/>
      <c r="R1307" s="166"/>
      <c r="S1307" s="62"/>
      <c r="T1307" s="63"/>
      <c r="U1307" s="63"/>
      <c r="V1307" s="14"/>
      <c r="W1307" s="74"/>
      <c r="Y1307" s="70"/>
      <c r="AA1307" s="14"/>
    </row>
    <row r="1308" spans="1:27" s="5" customFormat="1">
      <c r="A1308" s="60"/>
      <c r="B1308" s="62"/>
      <c r="C1308" s="62"/>
      <c r="D1308" s="60"/>
      <c r="E1308" s="60"/>
      <c r="F1308" s="60"/>
      <c r="G1308" s="60"/>
      <c r="H1308" s="60"/>
      <c r="I1308" s="60"/>
      <c r="J1308" s="60"/>
      <c r="K1308" s="60"/>
      <c r="L1308" s="60"/>
      <c r="M1308" s="116"/>
      <c r="N1308" s="61"/>
      <c r="O1308" s="64"/>
      <c r="P1308" s="65"/>
      <c r="Q1308" s="65"/>
      <c r="R1308" s="166"/>
      <c r="S1308" s="62"/>
      <c r="T1308" s="63"/>
      <c r="U1308" s="63"/>
      <c r="V1308" s="14"/>
      <c r="W1308" s="74"/>
      <c r="Y1308" s="70"/>
      <c r="AA1308" s="14"/>
    </row>
    <row r="1309" spans="1:27" s="5" customFormat="1">
      <c r="A1309" s="60"/>
      <c r="B1309" s="62"/>
      <c r="C1309" s="62"/>
      <c r="D1309" s="60"/>
      <c r="E1309" s="60"/>
      <c r="F1309" s="60"/>
      <c r="G1309" s="60"/>
      <c r="H1309" s="60"/>
      <c r="I1309" s="60"/>
      <c r="J1309" s="60"/>
      <c r="K1309" s="60"/>
      <c r="L1309" s="60"/>
      <c r="M1309" s="116"/>
      <c r="N1309" s="61"/>
      <c r="O1309" s="64"/>
      <c r="P1309" s="65"/>
      <c r="Q1309" s="65"/>
      <c r="R1309" s="166"/>
      <c r="S1309" s="62"/>
      <c r="T1309" s="63"/>
      <c r="U1309" s="63"/>
      <c r="V1309" s="14"/>
      <c r="W1309" s="74"/>
      <c r="Y1309" s="70"/>
      <c r="AA1309" s="14"/>
    </row>
    <row r="1310" spans="1:27" s="5" customFormat="1">
      <c r="B1310" s="14"/>
      <c r="C1310" s="14"/>
      <c r="M1310" s="117"/>
      <c r="N1310" s="24"/>
      <c r="O1310" s="28"/>
      <c r="P1310" s="6"/>
      <c r="Q1310" s="65"/>
      <c r="R1310" s="166"/>
      <c r="S1310" s="14"/>
      <c r="T1310" s="20"/>
      <c r="U1310" s="20"/>
      <c r="V1310" s="14"/>
      <c r="W1310" s="74"/>
      <c r="Y1310" s="70"/>
      <c r="AA1310" s="14"/>
    </row>
    <row r="1311" spans="1:27" s="5" customFormat="1">
      <c r="B1311" s="14"/>
      <c r="C1311" s="14"/>
      <c r="M1311" s="117"/>
      <c r="N1311" s="24"/>
      <c r="O1311" s="28"/>
      <c r="P1311" s="6"/>
      <c r="Q1311" s="6"/>
      <c r="R1311" s="167"/>
      <c r="S1311" s="14"/>
      <c r="T1311" s="20"/>
      <c r="U1311" s="20"/>
      <c r="V1311" s="14"/>
      <c r="W1311" s="74"/>
      <c r="Y1311" s="70"/>
      <c r="AA1311" s="14"/>
    </row>
    <row r="1312" spans="1:27" s="5" customFormat="1">
      <c r="B1312" s="14"/>
      <c r="C1312" s="14"/>
      <c r="M1312" s="117"/>
      <c r="N1312" s="24"/>
      <c r="O1312" s="28"/>
      <c r="P1312" s="6"/>
      <c r="Q1312" s="6"/>
      <c r="R1312" s="167"/>
      <c r="S1312" s="14"/>
      <c r="T1312" s="20"/>
      <c r="U1312" s="20"/>
      <c r="V1312" s="14"/>
      <c r="W1312" s="74"/>
      <c r="Y1312" s="70"/>
      <c r="AA1312" s="14"/>
    </row>
    <row r="1313" spans="2:27" s="5" customFormat="1">
      <c r="B1313" s="14"/>
      <c r="C1313" s="14"/>
      <c r="M1313" s="117"/>
      <c r="N1313" s="24"/>
      <c r="O1313" s="28"/>
      <c r="P1313" s="6"/>
      <c r="Q1313" s="6"/>
      <c r="R1313" s="167"/>
      <c r="S1313" s="14"/>
      <c r="T1313" s="20"/>
      <c r="U1313" s="20"/>
      <c r="V1313" s="14"/>
      <c r="W1313" s="74"/>
      <c r="Y1313" s="70"/>
      <c r="AA1313" s="14"/>
    </row>
    <row r="1314" spans="2:27" s="5" customFormat="1">
      <c r="B1314" s="14"/>
      <c r="C1314" s="14"/>
      <c r="M1314" s="117"/>
      <c r="N1314" s="24"/>
      <c r="O1314" s="28"/>
      <c r="P1314" s="6"/>
      <c r="Q1314" s="6"/>
      <c r="R1314" s="167"/>
      <c r="S1314" s="14"/>
      <c r="T1314" s="20"/>
      <c r="U1314" s="20"/>
      <c r="V1314" s="14"/>
      <c r="W1314" s="74"/>
      <c r="Y1314" s="70"/>
      <c r="AA1314" s="14"/>
    </row>
    <row r="1315" spans="2:27" s="5" customFormat="1">
      <c r="B1315" s="14"/>
      <c r="C1315" s="14"/>
      <c r="M1315" s="117"/>
      <c r="N1315" s="24"/>
      <c r="O1315" s="28"/>
      <c r="P1315" s="6"/>
      <c r="Q1315" s="6"/>
      <c r="R1315" s="167"/>
      <c r="S1315" s="14"/>
      <c r="T1315" s="20"/>
      <c r="U1315" s="20"/>
      <c r="V1315" s="14"/>
      <c r="W1315" s="74"/>
      <c r="Y1315" s="70"/>
      <c r="AA1315" s="14"/>
    </row>
    <row r="1316" spans="2:27" s="5" customFormat="1">
      <c r="B1316" s="14"/>
      <c r="C1316" s="14"/>
      <c r="M1316" s="117"/>
      <c r="N1316" s="24"/>
      <c r="O1316" s="28"/>
      <c r="P1316" s="6"/>
      <c r="Q1316" s="6"/>
      <c r="R1316" s="167"/>
      <c r="S1316" s="14"/>
      <c r="T1316" s="20"/>
      <c r="U1316" s="20"/>
      <c r="V1316" s="14"/>
      <c r="W1316" s="74"/>
      <c r="Y1316" s="70"/>
      <c r="AA1316" s="14"/>
    </row>
    <row r="1317" spans="2:27" s="5" customFormat="1">
      <c r="B1317" s="14"/>
      <c r="C1317" s="14"/>
      <c r="M1317" s="117"/>
      <c r="N1317" s="24"/>
      <c r="O1317" s="28"/>
      <c r="P1317" s="6"/>
      <c r="Q1317" s="6"/>
      <c r="R1317" s="167"/>
      <c r="S1317" s="14"/>
      <c r="T1317" s="20"/>
      <c r="U1317" s="20"/>
      <c r="V1317" s="14"/>
      <c r="W1317" s="74"/>
      <c r="Y1317" s="70"/>
      <c r="AA1317" s="14"/>
    </row>
    <row r="1318" spans="2:27" s="5" customFormat="1">
      <c r="B1318" s="14"/>
      <c r="C1318" s="14"/>
      <c r="M1318" s="117"/>
      <c r="N1318" s="24"/>
      <c r="O1318" s="28"/>
      <c r="P1318" s="6"/>
      <c r="Q1318" s="6"/>
      <c r="R1318" s="167"/>
      <c r="S1318" s="14"/>
      <c r="T1318" s="20"/>
      <c r="U1318" s="20"/>
      <c r="V1318" s="14"/>
      <c r="W1318" s="74"/>
      <c r="Y1318" s="70"/>
      <c r="AA1318" s="14"/>
    </row>
    <row r="1319" spans="2:27" s="5" customFormat="1">
      <c r="B1319" s="14"/>
      <c r="C1319" s="14"/>
      <c r="M1319" s="117"/>
      <c r="N1319" s="24"/>
      <c r="O1319" s="28"/>
      <c r="P1319" s="6"/>
      <c r="Q1319" s="6"/>
      <c r="R1319" s="167"/>
      <c r="S1319" s="14"/>
      <c r="T1319" s="20"/>
      <c r="U1319" s="20"/>
      <c r="V1319" s="14"/>
      <c r="W1319" s="74"/>
      <c r="Y1319" s="70"/>
      <c r="AA1319" s="14"/>
    </row>
    <row r="1320" spans="2:27" s="5" customFormat="1">
      <c r="B1320" s="14"/>
      <c r="C1320" s="14"/>
      <c r="M1320" s="117"/>
      <c r="N1320" s="24"/>
      <c r="O1320" s="28"/>
      <c r="P1320" s="6"/>
      <c r="Q1320" s="6"/>
      <c r="R1320" s="167"/>
      <c r="S1320" s="14"/>
      <c r="T1320" s="20"/>
      <c r="U1320" s="20"/>
      <c r="V1320" s="14"/>
      <c r="W1320" s="74"/>
      <c r="Y1320" s="70"/>
      <c r="AA1320" s="14"/>
    </row>
    <row r="1321" spans="2:27" s="7" customFormat="1">
      <c r="B1321" s="33"/>
      <c r="C1321" s="33"/>
      <c r="D1321" s="8"/>
      <c r="E1321" s="8"/>
      <c r="F1321" s="8"/>
      <c r="G1321" s="8"/>
      <c r="H1321" s="8"/>
      <c r="I1321" s="8"/>
      <c r="J1321" s="8"/>
      <c r="K1321" s="8"/>
      <c r="L1321" s="8"/>
      <c r="M1321" s="118"/>
      <c r="N1321" s="25"/>
      <c r="O1321" s="28"/>
      <c r="P1321" s="6"/>
      <c r="Q1321" s="6"/>
      <c r="R1321" s="167"/>
      <c r="S1321" s="15"/>
      <c r="T1321" s="21"/>
      <c r="U1321" s="21"/>
      <c r="V1321" s="33"/>
      <c r="W1321" s="73"/>
      <c r="Y1321" s="69"/>
      <c r="AA1321" s="33"/>
    </row>
    <row r="1322" spans="2:27" s="7" customFormat="1">
      <c r="B1322" s="33"/>
      <c r="C1322" s="33"/>
      <c r="D1322" s="8"/>
      <c r="E1322" s="8"/>
      <c r="F1322" s="8"/>
      <c r="G1322" s="8"/>
      <c r="H1322" s="8"/>
      <c r="I1322" s="8"/>
      <c r="J1322" s="8"/>
      <c r="K1322" s="8"/>
      <c r="L1322" s="8"/>
      <c r="M1322" s="118"/>
      <c r="N1322" s="25"/>
      <c r="O1322" s="9"/>
      <c r="P1322" s="9"/>
      <c r="Q1322" s="6"/>
      <c r="R1322" s="167"/>
      <c r="S1322" s="15"/>
      <c r="T1322" s="21"/>
      <c r="U1322" s="21"/>
      <c r="V1322" s="33"/>
      <c r="W1322" s="73"/>
      <c r="Y1322" s="69"/>
      <c r="AA1322" s="33"/>
    </row>
    <row r="1323" spans="2:27" s="7" customFormat="1">
      <c r="B1323" s="33"/>
      <c r="C1323" s="33"/>
      <c r="D1323" s="8"/>
      <c r="E1323" s="8"/>
      <c r="F1323" s="8"/>
      <c r="G1323" s="8"/>
      <c r="H1323" s="8"/>
      <c r="I1323" s="8"/>
      <c r="J1323" s="8"/>
      <c r="K1323" s="8"/>
      <c r="L1323" s="8"/>
      <c r="M1323" s="118"/>
      <c r="N1323" s="25"/>
      <c r="O1323" s="29"/>
      <c r="Q1323" s="9"/>
      <c r="R1323" s="9"/>
      <c r="S1323" s="15"/>
      <c r="T1323" s="21"/>
      <c r="U1323" s="21"/>
      <c r="V1323" s="33"/>
      <c r="W1323" s="73"/>
      <c r="Y1323" s="69"/>
      <c r="AA1323" s="33"/>
    </row>
    <row r="1324" spans="2:27">
      <c r="Q1324" s="7"/>
      <c r="R1324" s="21"/>
    </row>
  </sheetData>
  <autoFilter ref="D7:D599"/>
  <mergeCells count="47">
    <mergeCell ref="D265:D266"/>
    <mergeCell ref="B296:C298"/>
    <mergeCell ref="B574:C579"/>
    <mergeCell ref="B139:C143"/>
    <mergeCell ref="D329:D331"/>
    <mergeCell ref="B326:C331"/>
    <mergeCell ref="B380:C382"/>
    <mergeCell ref="D450:D452"/>
    <mergeCell ref="B449:C453"/>
    <mergeCell ref="D506:D509"/>
    <mergeCell ref="B505:C510"/>
    <mergeCell ref="R5:R6"/>
    <mergeCell ref="B594:D594"/>
    <mergeCell ref="B595:D595"/>
    <mergeCell ref="D93:D94"/>
    <mergeCell ref="D116:D117"/>
    <mergeCell ref="B116:C119"/>
    <mergeCell ref="D118:D119"/>
    <mergeCell ref="B92:C95"/>
    <mergeCell ref="B185:C188"/>
    <mergeCell ref="D267:D268"/>
    <mergeCell ref="B596:D596"/>
    <mergeCell ref="D599:E599"/>
    <mergeCell ref="J599:K599"/>
    <mergeCell ref="D222:D223"/>
    <mergeCell ref="D224:D227"/>
    <mergeCell ref="B222:C228"/>
    <mergeCell ref="B542:C544"/>
    <mergeCell ref="D326:D328"/>
    <mergeCell ref="B265:C269"/>
    <mergeCell ref="D297:D298"/>
    <mergeCell ref="S5:S6"/>
    <mergeCell ref="A1:Y1"/>
    <mergeCell ref="A2:Y2"/>
    <mergeCell ref="D3:L3"/>
    <mergeCell ref="A4:Q4"/>
    <mergeCell ref="A5:A6"/>
    <mergeCell ref="B5:B6"/>
    <mergeCell ref="D5:D6"/>
    <mergeCell ref="I5:J5"/>
    <mergeCell ref="K5:L5"/>
    <mergeCell ref="P5:P6"/>
    <mergeCell ref="Q5:Q6"/>
    <mergeCell ref="M5:M6"/>
    <mergeCell ref="C5:C6"/>
    <mergeCell ref="N5:N6"/>
    <mergeCell ref="O5:O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R7" sqref="R7"/>
    </sheetView>
  </sheetViews>
  <sheetFormatPr defaultRowHeight="15"/>
  <cols>
    <col min="1" max="1" width="4.5703125" style="173" customWidth="1"/>
    <col min="2" max="2" width="19" style="173" customWidth="1"/>
    <col min="3" max="3" width="9.85546875" style="173" customWidth="1"/>
    <col min="4" max="10" width="9.140625" style="173"/>
    <col min="11" max="11" width="10.140625" style="173" bestFit="1" customWidth="1"/>
    <col min="12" max="12" width="9.140625" style="173"/>
    <col min="13" max="13" width="10.140625" style="173" bestFit="1" customWidth="1"/>
    <col min="14" max="16384" width="9.140625" style="173"/>
  </cols>
  <sheetData>
    <row r="1" spans="1:13" ht="15.75" customHeight="1"/>
    <row r="2" spans="1:13" s="174" customFormat="1" ht="15.75">
      <c r="E2" s="175" t="s">
        <v>319</v>
      </c>
    </row>
    <row r="3" spans="1:13" s="174" customFormat="1" ht="15.75">
      <c r="D3" s="174" t="s">
        <v>346</v>
      </c>
    </row>
    <row r="4" spans="1:13" s="174" customFormat="1" ht="15.75">
      <c r="D4" s="174" t="s">
        <v>320</v>
      </c>
    </row>
    <row r="5" spans="1:13" ht="24" customHeight="1">
      <c r="A5" s="454" t="s">
        <v>321</v>
      </c>
      <c r="B5" s="454" t="s">
        <v>322</v>
      </c>
      <c r="C5" s="454" t="s">
        <v>323</v>
      </c>
      <c r="D5" s="454"/>
      <c r="E5" s="454"/>
      <c r="F5" s="454"/>
      <c r="G5" s="454" t="s">
        <v>329</v>
      </c>
      <c r="H5" s="454"/>
      <c r="I5" s="454"/>
      <c r="J5" s="454" t="s">
        <v>330</v>
      </c>
      <c r="K5" s="454"/>
      <c r="L5" s="454"/>
      <c r="M5" s="454" t="s">
        <v>332</v>
      </c>
    </row>
    <row r="6" spans="1:13" ht="27.75" customHeight="1">
      <c r="A6" s="454"/>
      <c r="B6" s="454"/>
      <c r="C6" s="454" t="s">
        <v>324</v>
      </c>
      <c r="D6" s="454" t="s">
        <v>325</v>
      </c>
      <c r="E6" s="454"/>
      <c r="F6" s="454"/>
      <c r="G6" s="454"/>
      <c r="H6" s="454"/>
      <c r="I6" s="454"/>
      <c r="J6" s="454"/>
      <c r="K6" s="454"/>
      <c r="L6" s="454"/>
      <c r="M6" s="454"/>
    </row>
    <row r="7" spans="1:13" ht="51" customHeight="1">
      <c r="A7" s="454"/>
      <c r="B7" s="454"/>
      <c r="C7" s="454"/>
      <c r="D7" s="176" t="s">
        <v>326</v>
      </c>
      <c r="E7" s="176" t="s">
        <v>327</v>
      </c>
      <c r="F7" s="176" t="s">
        <v>328</v>
      </c>
      <c r="G7" s="176" t="s">
        <v>326</v>
      </c>
      <c r="H7" s="176" t="s">
        <v>327</v>
      </c>
      <c r="I7" s="176" t="s">
        <v>328</v>
      </c>
      <c r="J7" s="176" t="s">
        <v>326</v>
      </c>
      <c r="K7" s="176" t="s">
        <v>327</v>
      </c>
      <c r="L7" s="176" t="s">
        <v>331</v>
      </c>
      <c r="M7" s="454"/>
    </row>
    <row r="8" spans="1:13" ht="27.75" customHeight="1">
      <c r="A8" s="177">
        <v>1</v>
      </c>
      <c r="B8" s="177" t="s">
        <v>64</v>
      </c>
      <c r="C8" s="177">
        <v>5495</v>
      </c>
      <c r="D8" s="177">
        <f>180+349+198+322+417+205+336+334</f>
        <v>2341</v>
      </c>
      <c r="E8" s="177">
        <v>2894</v>
      </c>
      <c r="F8" s="177">
        <f>46+41+49+52+45+27</f>
        <v>260</v>
      </c>
      <c r="G8" s="178">
        <f t="shared" ref="G8:I11" si="0">J8/D8</f>
        <v>313.96668090559592</v>
      </c>
      <c r="H8" s="178">
        <f t="shared" si="0"/>
        <v>12.034208707671043</v>
      </c>
      <c r="I8" s="178">
        <f t="shared" si="0"/>
        <v>7.4923076923076923</v>
      </c>
      <c r="J8" s="177">
        <f>158812+158989+125002+143740+42702+105751</f>
        <v>734996</v>
      </c>
      <c r="K8" s="177">
        <f>7497+6178+5462+9429+2792+3469</f>
        <v>34827</v>
      </c>
      <c r="L8" s="177">
        <f>353+377+376+468+170+204</f>
        <v>1948</v>
      </c>
      <c r="M8" s="177">
        <f>SUM(J8:L8)</f>
        <v>771771</v>
      </c>
    </row>
    <row r="9" spans="1:13" ht="27.75" customHeight="1">
      <c r="A9" s="177">
        <v>2</v>
      </c>
      <c r="B9" s="177" t="s">
        <v>62</v>
      </c>
      <c r="C9" s="177">
        <v>8987</v>
      </c>
      <c r="D9" s="177">
        <f>3231+705</f>
        <v>3936</v>
      </c>
      <c r="E9" s="177">
        <v>4451</v>
      </c>
      <c r="F9" s="177">
        <v>600</v>
      </c>
      <c r="G9" s="178">
        <f t="shared" si="0"/>
        <v>479.80360772357722</v>
      </c>
      <c r="H9" s="178">
        <f t="shared" si="0"/>
        <v>12.40170748146484</v>
      </c>
      <c r="I9" s="178">
        <f t="shared" si="0"/>
        <v>5.3566666666666665</v>
      </c>
      <c r="J9" s="177">
        <f>999523-326640+927399+288225</f>
        <v>1888507</v>
      </c>
      <c r="K9" s="177">
        <f>43189-11004+14314+8701</f>
        <v>55200</v>
      </c>
      <c r="L9" s="177">
        <f>2231-609+1005+587</f>
        <v>3214</v>
      </c>
      <c r="M9" s="177">
        <f>SUM(J9:L9)</f>
        <v>1946921</v>
      </c>
    </row>
    <row r="10" spans="1:13" ht="27.75" customHeight="1">
      <c r="A10" s="177">
        <v>3</v>
      </c>
      <c r="B10" s="177" t="s">
        <v>65</v>
      </c>
      <c r="C10" s="177">
        <v>13401</v>
      </c>
      <c r="D10" s="177">
        <f>2961+1931+2577+458-46-87-583-275-382-58-66-93</f>
        <v>6337</v>
      </c>
      <c r="E10" s="177">
        <v>6318</v>
      </c>
      <c r="F10" s="177">
        <v>746</v>
      </c>
      <c r="G10" s="178">
        <f t="shared" si="0"/>
        <v>282.59207827047499</v>
      </c>
      <c r="H10" s="178">
        <f t="shared" si="0"/>
        <v>7.8923710034821148</v>
      </c>
      <c r="I10" s="178">
        <f t="shared" si="0"/>
        <v>3.3699731903485253</v>
      </c>
      <c r="J10" s="177">
        <f>735529-3964+406747-5117-39769-2273-178255-136824-361210+1246132+152968-15729-7449</f>
        <v>1790786</v>
      </c>
      <c r="K10" s="177">
        <f>6428-764-563+23179-5999-2124-2647-357+17620-1449-1431+18984-1013</f>
        <v>49864</v>
      </c>
      <c r="L10" s="177">
        <f>777-38+819-74-74+1757-487-226-177-18+286-31</f>
        <v>2514</v>
      </c>
      <c r="M10" s="177">
        <f>SUM(J10:L10)</f>
        <v>1843164</v>
      </c>
    </row>
    <row r="11" spans="1:13" ht="27.75" customHeight="1">
      <c r="A11" s="177">
        <v>4</v>
      </c>
      <c r="B11" s="177" t="s">
        <v>63</v>
      </c>
      <c r="C11" s="177">
        <v>805</v>
      </c>
      <c r="D11" s="177">
        <v>224</v>
      </c>
      <c r="E11" s="177">
        <f>552</f>
        <v>552</v>
      </c>
      <c r="F11" s="177">
        <f>29</f>
        <v>29</v>
      </c>
      <c r="G11" s="178">
        <f t="shared" si="0"/>
        <v>118.99107142857143</v>
      </c>
      <c r="H11" s="178">
        <f t="shared" si="0"/>
        <v>15.844202898550725</v>
      </c>
      <c r="I11" s="178">
        <f t="shared" si="0"/>
        <v>6.3793103448275863</v>
      </c>
      <c r="J11" s="177">
        <f>118842-92188</f>
        <v>26654</v>
      </c>
      <c r="K11" s="177">
        <f>15867-7121</f>
        <v>8746</v>
      </c>
      <c r="L11" s="177">
        <f>557-372</f>
        <v>185</v>
      </c>
      <c r="M11" s="177">
        <f>SUM(J11:L11)</f>
        <v>35585</v>
      </c>
    </row>
    <row r="12" spans="1:13" ht="27.75" customHeight="1">
      <c r="A12" s="455" t="s">
        <v>333</v>
      </c>
      <c r="B12" s="456"/>
      <c r="C12" s="179">
        <f>SUM(C8:C11)</f>
        <v>28688</v>
      </c>
      <c r="D12" s="179">
        <f t="shared" ref="D12:M12" si="1">SUM(D8:D11)</f>
        <v>12838</v>
      </c>
      <c r="E12" s="179">
        <f t="shared" si="1"/>
        <v>14215</v>
      </c>
      <c r="F12" s="179">
        <f t="shared" si="1"/>
        <v>1635</v>
      </c>
      <c r="G12" s="180">
        <f t="shared" si="1"/>
        <v>1195.3534383282195</v>
      </c>
      <c r="H12" s="180">
        <f t="shared" si="1"/>
        <v>48.172490091168719</v>
      </c>
      <c r="I12" s="180">
        <f t="shared" si="1"/>
        <v>22.598257894150471</v>
      </c>
      <c r="J12" s="179">
        <f t="shared" si="1"/>
        <v>4440943</v>
      </c>
      <c r="K12" s="179">
        <f t="shared" si="1"/>
        <v>148637</v>
      </c>
      <c r="L12" s="179">
        <f t="shared" si="1"/>
        <v>7861</v>
      </c>
      <c r="M12" s="179">
        <f t="shared" si="1"/>
        <v>4597441</v>
      </c>
    </row>
  </sheetData>
  <mergeCells count="9">
    <mergeCell ref="J5:L6"/>
    <mergeCell ref="M5:M7"/>
    <mergeCell ref="A12:B12"/>
    <mergeCell ref="A5:A7"/>
    <mergeCell ref="B5:B7"/>
    <mergeCell ref="C6:C7"/>
    <mergeCell ref="C5:F5"/>
    <mergeCell ref="D6:F6"/>
    <mergeCell ref="G5:I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зведена</vt:lpstr>
      <vt:lpstr>Лист2</vt:lpstr>
      <vt:lpstr>зведена з рент.платою</vt:lpstr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SISADMIN</dc:creator>
  <cp:lastModifiedBy>User</cp:lastModifiedBy>
  <cp:lastPrinted>2021-04-08T06:35:10Z</cp:lastPrinted>
  <dcterms:created xsi:type="dcterms:W3CDTF">2017-05-15T11:51:42Z</dcterms:created>
  <dcterms:modified xsi:type="dcterms:W3CDTF">2021-11-16T08:08:30Z</dcterms:modified>
</cp:coreProperties>
</file>